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  <sheet name="дод.8" sheetId="8" r:id="rId8"/>
  </sheets>
  <definedNames>
    <definedName name="_xlfn.AGGREGATE" hidden="1">#NAME?</definedName>
    <definedName name="_xlnm.Print_Titles" localSheetId="2">'дод.3'!$8:$11</definedName>
    <definedName name="_xlnm.Print_Titles" localSheetId="3">'дод.4'!$D:$E</definedName>
    <definedName name="_xlnm.Print_Area" localSheetId="0">'дод.1'!$A$1:$F$69</definedName>
    <definedName name="_xlnm.Print_Area" localSheetId="1">'дод.2'!$A$1:$F$31</definedName>
    <definedName name="_xlnm.Print_Area" localSheetId="2">'дод.3'!$B$1:$R$95</definedName>
    <definedName name="_xlnm.Print_Area" localSheetId="3">'дод.4'!$D$1:$Y$32</definedName>
    <definedName name="_xlnm.Print_Area" localSheetId="4">'дод.5'!$B$1:$J$61</definedName>
    <definedName name="_xlnm.Print_Area" localSheetId="5">'дод.6'!$B$1:$I$71</definedName>
    <definedName name="_xlnm.Print_Area" localSheetId="6">'дод.7'!$A$1:$F$26</definedName>
    <definedName name="_xlnm.Print_Area" localSheetId="7">'дод.8'!$A$1:$Q$23</definedName>
  </definedNames>
  <calcPr fullCalcOnLoad="1"/>
</workbook>
</file>

<file path=xl/sharedStrings.xml><?xml version="1.0" encoding="utf-8"?>
<sst xmlns="http://schemas.openxmlformats.org/spreadsheetml/2006/main" count="1063" uniqueCount="479">
  <si>
    <t>Придбання обладнання та предметів довгострокового користування для комунального позашкільного навчального закладу “Міловська дитяча школа мистецтв” Міловської районної ради Луганської області. 92500, Луганська обл., Міловський р-н, смт Мілове, вул. Миру, 1</t>
  </si>
  <si>
    <t>Придбання сільськогосподарської техніки, трактору з додатковим обладнанням для Міловської селищної ради 92500, Луганська область, Міловський район, смт Мілове, вул. Центральна, 73</t>
  </si>
  <si>
    <t>Придбання обладнання та предметів довгострокового терміну використання для відділу освіти Міловської районної державної адміністрації. 92500, Луганська область, смт Мілове, вул. Миру, 40</t>
  </si>
  <si>
    <t>8700</t>
  </si>
  <si>
    <t>37</t>
  </si>
  <si>
    <t>3700000</t>
  </si>
  <si>
    <t>3710180</t>
  </si>
  <si>
    <t>Найменування селищної та сільських рад</t>
  </si>
  <si>
    <t>Міловська селищна рада</t>
  </si>
  <si>
    <t>Великоцька сільська рада</t>
  </si>
  <si>
    <t>Зориківська сільська рада</t>
  </si>
  <si>
    <t>Микільська сільська рада</t>
  </si>
  <si>
    <t>Морозівська сільська рада</t>
  </si>
  <si>
    <t>Стрільцівська сільська рада</t>
  </si>
  <si>
    <t>1070</t>
  </si>
  <si>
    <t>Надання субсидій населенню для відшкодування витрат на оплату житлово-комунальних послуг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</si>
  <si>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</si>
  <si>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</si>
  <si>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</si>
  <si>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пільг окремим категоріям громадян з оплати послуг зв`язку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</si>
  <si>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</si>
  <si>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</si>
  <si>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</si>
  <si>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</si>
  <si>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</si>
  <si>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</si>
  <si>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</si>
  <si>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3041</t>
  </si>
  <si>
    <t>3042</t>
  </si>
  <si>
    <t>3043</t>
  </si>
  <si>
    <t>3044</t>
  </si>
  <si>
    <t>3045</t>
  </si>
  <si>
    <t>3046</t>
  </si>
  <si>
    <t>3047</t>
  </si>
  <si>
    <t>1010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</si>
  <si>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</si>
  <si>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</si>
  <si>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3080</t>
  </si>
  <si>
    <t>Код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</si>
  <si>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</si>
  <si>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</si>
  <si>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</si>
  <si>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</si>
  <si>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</si>
  <si>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</si>
  <si>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</si>
  <si>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</si>
  <si>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</si>
  <si>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</si>
  <si>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</si>
  <si>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</si>
  <si>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</si>
  <si>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</si>
  <si>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</si>
  <si>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</si>
  <si>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</si>
  <si>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</si>
  <si>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</si>
  <si>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</si>
  <si>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</si>
  <si>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</si>
  <si>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</si>
  <si>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</si>
  <si>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</si>
  <si>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</si>
  <si>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</si>
  <si>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</si>
  <si>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</si>
  <si>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</si>
  <si>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</si>
  <si>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0100000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</si>
  <si>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</si>
  <si>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</si>
  <si>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</si>
  <si>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</si>
  <si>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</si>
  <si>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</si>
  <si>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</si>
  <si>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</si>
  <si>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</si>
  <si>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</si>
  <si>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</si>
  <si>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</si>
  <si>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</si>
  <si>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</si>
  <si>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</si>
  <si>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</si>
  <si>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</si>
  <si>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</si>
  <si>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</si>
  <si>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</si>
  <si>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</si>
  <si>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</si>
  <si>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</si>
  <si>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</si>
  <si>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</si>
  <si>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</si>
  <si>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</si>
  <si>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</si>
  <si>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</si>
  <si>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</si>
  <si>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</si>
  <si>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</si>
  <si>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</si>
  <si>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</si>
  <si>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</si>
  <si>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</si>
  <si>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</si>
  <si>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сесії районної ради</t>
  </si>
  <si>
    <t>______________ № ________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</si>
  <si>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</si>
  <si>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</si>
  <si>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</si>
  <si>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</si>
  <si>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</si>
  <si>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Додаток 3</t>
  </si>
  <si>
    <t>грн.</t>
  </si>
  <si>
    <t>Додаток 4</t>
  </si>
  <si>
    <t>0731</t>
  </si>
  <si>
    <t>0726</t>
  </si>
  <si>
    <t>0763</t>
  </si>
  <si>
    <t>Заходи державної політики з питань дітей та їх соціального захисту</t>
  </si>
  <si>
    <t>3112</t>
  </si>
  <si>
    <t>1040</t>
  </si>
  <si>
    <t>4030</t>
  </si>
  <si>
    <t>4060</t>
  </si>
  <si>
    <t>0824</t>
  </si>
  <si>
    <t>0828</t>
  </si>
  <si>
    <t>0960</t>
  </si>
  <si>
    <t>0810</t>
  </si>
  <si>
    <t>Сприяння розвитку малого та середнього підприємництва</t>
  </si>
  <si>
    <t>8600</t>
  </si>
  <si>
    <t>0133</t>
  </si>
  <si>
    <t>Інші видатки</t>
  </si>
  <si>
    <t>0180</t>
  </si>
  <si>
    <t>1020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</si>
  <si>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</si>
  <si>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0921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</si>
  <si>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</si>
  <si>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</si>
  <si>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</si>
  <si>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</si>
  <si>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</si>
  <si>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Утримання та навчально-тренувальна робота комунальних дитячо-юнацьких спортивних шкіл</t>
  </si>
  <si>
    <t>3011</t>
  </si>
  <si>
    <t>3012</t>
  </si>
  <si>
    <t>1030</t>
  </si>
  <si>
    <t>0,00</t>
  </si>
  <si>
    <t>Міловська райдержадміністрація</t>
  </si>
  <si>
    <t>Районна програма "Забезпечення надання соціальної підтримки дітям, молоді та різним категоріям сімей, які перебувають у складних життєвих обставинах та потребують сторонньої допомоги на 2015-2019 роки</t>
  </si>
  <si>
    <t>Районна програма розвитку публічних бібліотек Міловської центральної бібліотечної системи на 2016-2019 роки</t>
  </si>
  <si>
    <t>Районна програма фізичної культури  та спорту на 2016-2020  роки</t>
  </si>
  <si>
    <t>Позашкільні заклади освіти, заходи із позашкільної роботи з дітьми </t>
  </si>
  <si>
    <t>Районна програма розвитку позашкільного навчального закладу на 2016-2020 роки</t>
  </si>
  <si>
    <t>Районна програма "Обдаровані діти Міловщини" на 2016-2020 роки</t>
  </si>
  <si>
    <t>Комплексна районна програма соціального захисту громадян, які постраждали внаслідок Чорнобильської катастрофи на 2016-2020 роки</t>
  </si>
  <si>
    <t>Фінансове управління Міловської райдержадміністрації</t>
  </si>
  <si>
    <t>грн</t>
  </si>
  <si>
    <t xml:space="preserve">Заступник голови районної ради                                    </t>
  </si>
  <si>
    <t>О.Є. Кашуба</t>
  </si>
  <si>
    <t>Додаток 7</t>
  </si>
  <si>
    <t>Придбання предметів довгострокового користування</t>
  </si>
  <si>
    <t>Додаток 6</t>
  </si>
  <si>
    <t>Додаток 5</t>
  </si>
  <si>
    <t>селище Мілове</t>
  </si>
  <si>
    <t>с.Великоцьк</t>
  </si>
  <si>
    <t>с.Зориківка</t>
  </si>
  <si>
    <t>с.Микільське</t>
  </si>
  <si>
    <t>с.Морозівка</t>
  </si>
  <si>
    <t>с.Мусіївка</t>
  </si>
  <si>
    <t>с.Новострільцівка</t>
  </si>
  <si>
    <t>с.Стрільцівка</t>
  </si>
  <si>
    <t>Субвенції з районного бюджету</t>
  </si>
  <si>
    <t>Дошкільні установи</t>
  </si>
  <si>
    <t>Код ФКВКБ</t>
  </si>
  <si>
    <t>Код програмної класифікації видатків та кредитування місцевих бюджетів</t>
  </si>
  <si>
    <t>76</t>
  </si>
  <si>
    <t>Код КВК, ТПКВКМБ /
ТКВКБМС</t>
  </si>
  <si>
    <r>
      <t>Код КВК, ТПКВКМБ /
ТКВКБМС</t>
    </r>
    <r>
      <rPr>
        <b/>
        <vertAlign val="superscript"/>
        <sz val="10"/>
        <rFont val="Times New Roman"/>
        <family val="1"/>
      </rPr>
      <t>3</t>
    </r>
  </si>
  <si>
    <t>Інша субвенція з обласного бюджету</t>
  </si>
  <si>
    <t xml:space="preserve">Інша субвенція з селищного та сільських бюджетів </t>
  </si>
  <si>
    <t>Інші заходи та заклади молодіжної політики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</si>
  <si>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</si>
  <si>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</si>
  <si>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5031</t>
  </si>
  <si>
    <r>
      <t>Районна цільова програма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протидії ВІЛ -інфекції/СНІДу на 2015 - 2018 роки</t>
    </r>
  </si>
  <si>
    <t>Районна програма заходів по соціальному захисту дітей-сиріт та дітей, які залишилися без батьківського піклування, на 2017-2021 роки</t>
  </si>
  <si>
    <t>Програма підтримки індивідуального житлового будівництва на селі та покращення умов життєзабезпечення сільського населення "Власний дім" на 2017-2022 роки по Міловському району</t>
  </si>
  <si>
    <t>Програма заходів по соціальному захисту дітей-сиріт та дітей, які залишилися без батьківського піклування, на 2017-2021 роки</t>
  </si>
  <si>
    <t>Комплексна районна програма соціального захисту ветеранів війни, праці, військової служби, воїнів-інтернаціоналістів, пенсіонерів та громадян похилого віку на 2017- 2020 роки</t>
  </si>
  <si>
    <t>Комплексна районна програма соціального захисту ветеранів війни, праці військової служби, воїнів- інтернаціоналістів, пенсіонерів та громадян похилого віку на 2017 – 2020 роки</t>
  </si>
  <si>
    <t>Районна програма Міловська родина на період 2017-2020 роки</t>
  </si>
  <si>
    <t>Розподіл обсягу іншої субвенції з районного бюджету</t>
  </si>
  <si>
    <t>Hod - фінансовий норматив бюджетної забезпеченості на одну дитину, що відвідує дошкільний навчальний заклад (грн.)</t>
  </si>
  <si>
    <t>Vosi - обсяг субвенції на утримання дошкільних навчальних закладів (грн.)</t>
  </si>
  <si>
    <t>Районна програма подолання дитячої безпритульності і бездоглядності на 2016-2020 роки</t>
  </si>
  <si>
    <t>Районна програма реалізації молодіжної політики у Міловському районі на 2016-2020 роки</t>
  </si>
  <si>
    <t>Відділ освіти Міловської РДА</t>
  </si>
  <si>
    <t>Управління соціального захисту населення Міловської РДА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</si>
  <si>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</si>
  <si>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</si>
  <si>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</si>
  <si>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Державний бюджет</t>
  </si>
  <si>
    <t xml:space="preserve">Програма економічного і соціального розвитку Міловського району на 2017 рік </t>
  </si>
  <si>
    <t xml:space="preserve">Інші надходження </t>
  </si>
  <si>
    <t>Інші неподаткові надходження  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</si>
  <si>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</si>
  <si>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</si>
  <si>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</si>
  <si>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</si>
  <si>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Податок на прибуток підприємств та фінансових установ комунальної власності </t>
  </si>
  <si>
    <t>Податок на прибуток підприємств</t>
  </si>
  <si>
    <t>Районна програма "Мистецька освіта Міловщини" на 2017-2020 роки</t>
  </si>
  <si>
    <t>Районна програма розвитку української мови, культури та національної свідомості громодян України на території Міловського району на 2017-2020 року</t>
  </si>
  <si>
    <t>Програма розвитку інформатизації Міловського району на 2017 рік</t>
  </si>
  <si>
    <t>02</t>
  </si>
  <si>
    <t>0200000</t>
  </si>
  <si>
    <t>0110150</t>
  </si>
  <si>
    <t>0150</t>
  </si>
  <si>
    <t>0213112</t>
  </si>
  <si>
    <t>0212010</t>
  </si>
  <si>
    <t>2111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</si>
  <si>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</si>
  <si>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</si>
  <si>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3121</t>
  </si>
  <si>
    <t>0213121</t>
  </si>
  <si>
    <t>Утримання та забезпечення діяльності центрів соціальних служб для сім’ї, дітей та молоді</t>
  </si>
  <si>
    <t>3133</t>
  </si>
  <si>
    <t>0213133</t>
  </si>
  <si>
    <t>0214030</t>
  </si>
  <si>
    <t>0214060</t>
  </si>
  <si>
    <t>Забезпечення діяльності бібліотек</t>
  </si>
  <si>
    <t>4040</t>
  </si>
  <si>
    <t>0214040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</si>
  <si>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</si>
  <si>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</si>
  <si>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1100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</si>
  <si>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</si>
  <si>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</si>
  <si>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0215061</t>
  </si>
  <si>
    <t>7610</t>
  </si>
  <si>
    <t>0217610</t>
  </si>
  <si>
    <t>9770</t>
  </si>
  <si>
    <t>0219770</t>
  </si>
  <si>
    <t xml:space="preserve">Інші субвенції з місцевого бюджету </t>
  </si>
  <si>
    <t>06</t>
  </si>
  <si>
    <t>Інша діяльність у сфері державного управління</t>
  </si>
  <si>
    <t>0210180</t>
  </si>
  <si>
    <t>0600000</t>
  </si>
  <si>
    <t>0611020</t>
  </si>
  <si>
    <t>0611090</t>
  </si>
  <si>
    <t>1150</t>
  </si>
  <si>
    <t>0611150</t>
  </si>
  <si>
    <t>Методичне забезпечення діяльності навчальних закладів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</si>
  <si>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</si>
  <si>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</si>
  <si>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3140</t>
  </si>
  <si>
    <t>0615031</t>
  </si>
  <si>
    <t>08</t>
  </si>
  <si>
    <t>0800000</t>
  </si>
  <si>
    <t>0813011</t>
  </si>
  <si>
    <t>0813012</t>
  </si>
  <si>
    <t>0813021</t>
  </si>
  <si>
    <t>0813031</t>
  </si>
  <si>
    <t>0813041</t>
  </si>
  <si>
    <t>0813042</t>
  </si>
  <si>
    <t>0813043</t>
  </si>
  <si>
    <t>0813044</t>
  </si>
  <si>
    <t>0813045</t>
  </si>
  <si>
    <t>0813046</t>
  </si>
  <si>
    <t>0813047</t>
  </si>
  <si>
    <t>0813104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</si>
  <si>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</si>
  <si>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</si>
  <si>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0813022</t>
  </si>
  <si>
    <t>Надання інших пільг окремим категоріям громадян відповідно до законодавства</t>
  </si>
  <si>
    <t>3032</t>
  </si>
  <si>
    <t>0813032</t>
  </si>
  <si>
    <t>0813133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</si>
  <si>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</si>
  <si>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</si>
  <si>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</si>
  <si>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0813192</t>
  </si>
  <si>
    <t>Дотації з державного бюджету місцевим бюджетам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</si>
  <si>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</si>
  <si>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</si>
  <si>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</si>
  <si>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</si>
  <si>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</si>
  <si>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</si>
  <si>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</si>
  <si>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</si>
  <si>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</si>
  <si>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 :</t>
  </si>
  <si>
    <t>Субвенції  з державного бюджету місцевим бюджетам</t>
  </si>
  <si>
    <t>Доходи районного бюджету на 2018 рік</t>
  </si>
  <si>
    <t xml:space="preserve">Джерела фінансування районного бюджету на 2018 рік </t>
  </si>
  <si>
    <r>
      <t>РОЗПОДІЛ</t>
    </r>
    <r>
      <rPr>
        <b/>
        <sz val="14"/>
        <rFont val="Times New Roman"/>
        <family val="0"/>
      </rPr>
      <t xml:space="preserve">
видатків районного бюджету  на 2018 рік</t>
    </r>
  </si>
  <si>
    <t>Міжбюджетні трансферти  з районного бюджету  місцевим/державному бюджету  на 2018 рік</t>
  </si>
  <si>
    <t>Перелік об’єктів, видатки на які у 2018 році будуть проводитися за рахунок коштів бюджету розвитку</t>
  </si>
  <si>
    <t xml:space="preserve">Перелік місцевих (регіональних) програм, які фінансуватимуться за рахунок коштів
районного бюджету у 2018 році
</t>
  </si>
  <si>
    <t>бюджетам селищної та сільських рад на утримання дошкільних навчальних закладів в 2018 році</t>
  </si>
  <si>
    <t>0611161</t>
  </si>
  <si>
    <t>Забезпечення діяльності інших закладів у сфері освіти</t>
  </si>
  <si>
    <t>1161</t>
  </si>
  <si>
    <t>2151</t>
  </si>
  <si>
    <t>0212151</t>
  </si>
  <si>
    <t>Надання пільг на оплату житлово-комунальних послуг окремим категоріям громадян відповідно до законодавства</t>
  </si>
  <si>
    <t>Надання допомоги по догляду за особами з інвалідністю I чи II групи внаслідок психічного розладу</t>
  </si>
  <si>
    <t xml:space="preserve"> Ki - кількість дітей, що відвідують дошкільний навчальний заклад станом на 1 грудня 2017 року (чоловік)</t>
  </si>
  <si>
    <t>Багатопрофільна стаціонарна медична допомога населенню</t>
  </si>
  <si>
    <t>Інші заходи в галузі культури і мистецтва</t>
  </si>
  <si>
    <t>4082</t>
  </si>
  <si>
    <t>0829</t>
  </si>
  <si>
    <t>0214082</t>
  </si>
  <si>
    <t>0217640</t>
  </si>
  <si>
    <t>Заходи з енергозбереження</t>
  </si>
  <si>
    <t>0470</t>
  </si>
  <si>
    <t>7640</t>
  </si>
  <si>
    <t>Програма енергозбереження для населення 
Міловського району  Луганської області на 2018-2019 роки</t>
  </si>
  <si>
    <t>0813083</t>
  </si>
  <si>
    <t>3083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</si>
  <si>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</si>
  <si>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</si>
  <si>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</si>
  <si>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0813191</t>
  </si>
  <si>
    <t>3191</t>
  </si>
  <si>
    <t>Інші видатки на соціальний захист ветеранів війни та праці</t>
  </si>
  <si>
    <t>Програма забезпечення функціонування інформаційно-аналітичної системи моніторингу виконання місцевих бюджетів Міловського району на 2018 рік</t>
  </si>
  <si>
    <t>Придбання автомобіля</t>
  </si>
  <si>
    <t>Капітальний ремонт покрівлі спортивного залу Міловського РБК</t>
  </si>
  <si>
    <t>Придбання та ремонт квартир дітей-сиріт, дітей позбавлених батьківського піклування</t>
  </si>
  <si>
    <t>Районна програма забезпечення житлом дітей-сиріт, дітей позбавлених батьківського піклування та осіб з їх числа на 2017-2020 роки</t>
  </si>
  <si>
    <t>Районна програма соціальної підтримки учасників антитерористичної операції та членів їх сімей на 2018-2020 роки</t>
  </si>
  <si>
    <t>0813140</t>
  </si>
  <si>
    <t>Районна програма оздоровлення та відпочинку дітей  «Міловське літо» на  2018-2020 роки</t>
  </si>
  <si>
    <t>Дотації з районного бюджету</t>
  </si>
  <si>
    <t>Інші дотації з місцевого бюджету</t>
  </si>
  <si>
    <t>9150</t>
  </si>
  <si>
    <t>0219150</t>
  </si>
  <si>
    <t xml:space="preserve">Цільова програма «Розвитку та підтримки малого і середнього підприємництва в Міловському районі на 2018-2020 роки. </t>
  </si>
  <si>
    <t xml:space="preserve">Районна програма проведення культурно-масових заходів та відзначення пам’ятних та календарних дат в Міловському районі на 2018-2020 роки </t>
  </si>
  <si>
    <t>Районна програма надання пільг з послуг зв’язку, інших передбачених законодавством пільг та компенсацію за пільговий проїзд окремих категорій громадян на 2018-2022 роки</t>
  </si>
  <si>
    <t xml:space="preserve">Районна Програма заходів з приписки та призову громадян на строкову військову службу та військову службу за контрактом на 2018 рік </t>
  </si>
  <si>
    <t>Додаток 8</t>
  </si>
  <si>
    <t>Повернення кредитів до районного бюджету  та розподіл надання кредитів 
з районного бюджету  в  2018 році</t>
  </si>
  <si>
    <t>Довгострокові кредити індивідуальним забудовникам житла на селі та їх повернення</t>
  </si>
  <si>
    <t>8831</t>
  </si>
  <si>
    <t>8832</t>
  </si>
  <si>
    <t>Надання кредиту</t>
  </si>
  <si>
    <t>Повернення кредиту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</si>
  <si>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</si>
  <si>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</si>
  <si>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0110000</t>
  </si>
  <si>
    <t>0210000</t>
  </si>
  <si>
    <t>2010</t>
  </si>
  <si>
    <t>0212144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</si>
  <si>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</si>
  <si>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</si>
  <si>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</si>
  <si>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</si>
  <si>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</si>
  <si>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здоров`я</t>
  </si>
  <si>
    <t>Утримання та забезпечення діяльності центрів соціальних служб для сім`ї, дітей та молоді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</si>
  <si>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</si>
  <si>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Інші субвенції з місцевого бюджету</t>
  </si>
  <si>
    <t>0610000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</si>
  <si>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</si>
  <si>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</si>
  <si>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</si>
  <si>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</si>
  <si>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</si>
  <si>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</si>
  <si>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</si>
  <si>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</si>
  <si>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</si>
  <si>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</si>
  <si>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</si>
  <si>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0813040</t>
  </si>
  <si>
    <t>3040</t>
  </si>
  <si>
    <t>Надання допомоги сім`ям з дітьми, малозабезпеченим сім`ям, тимчасової допомоги дітям</t>
  </si>
  <si>
    <t>0813080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</si>
  <si>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</si>
  <si>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</si>
  <si>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</si>
  <si>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</si>
  <si>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</si>
  <si>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</si>
  <si>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3710000</t>
  </si>
  <si>
    <t>Резервний фонд</t>
  </si>
  <si>
    <t xml:space="preserve"> </t>
  </si>
  <si>
    <t>Код ТПКВКМБ / ТКВКБМС</t>
  </si>
  <si>
    <t>Міловська районна рада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</si>
  <si>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</si>
  <si>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Фінансове управління Міловської райдерадміністрації</t>
  </si>
  <si>
    <t xml:space="preserve">кошти що передаються з загального фонду </t>
  </si>
  <si>
    <t>Капітальний ремонт рентгенологічного кабінету Міловського районного територіального медичного об’єднання (РТМО) за адресою: вул. Первомайська, 2 б, смт Мілове, Міловського району, Луганської області</t>
  </si>
  <si>
    <t>Придбання обладнання та предметів довгострокового користування для Міловського РТМО. 92500, Луганська область, Міловський район, смт Мілове, вул. Миру, 44</t>
  </si>
  <si>
    <t>Придбання обладнання та предметів довгострокового користування для комунального підприємства “Міловський районний Будинок культури Луганської області. 92500, Луганська обл., Міловський р-н, смт Мілове, вул. Первомайська, буд. 16</t>
  </si>
  <si>
    <t>Придбання обладнання та предметів довгострокового користування для комунальної установи “Міловська централізована бібліотечна система районної ради Луганської області”. 92500, Луганська обл., Міловський р-н, смт Мілове, вул. Миру, 6</t>
  </si>
  <si>
    <t>Придбання обладнання та предметів довгострокового користування для комунальної установи “Міловський районний краєзнавчий музей Луганської області”. 92500, Луганська обл., Міловський р-н, смт Мілове, вул. Шкільна, буд. 1а</t>
  </si>
  <si>
    <t>3242</t>
  </si>
  <si>
    <t>0613242</t>
  </si>
  <si>
    <t>Інші заходи у сфері соціального захисту і соціального забезпечення</t>
  </si>
  <si>
    <t>0219800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</si>
  <si>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</si>
  <si>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0819800</t>
  </si>
  <si>
    <t>3719800</t>
  </si>
  <si>
    <t>9800</t>
  </si>
  <si>
    <t>0219420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</si>
  <si>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</si>
  <si>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державному бюджету на виконання програм соціально-економічного розвитку регіонів</t>
  </si>
  <si>
    <t>Встановлення камер відеоспостереження на виконання програми "Безпечне місто"</t>
  </si>
  <si>
    <t>Розробка проектно-кошторисної документації по проекту реконструкції газової котельні Великоцької ЗОШ І-ІІІ ступенів</t>
  </si>
  <si>
    <t>Придбання шкільного автобусу</t>
  </si>
  <si>
    <r>
      <t>Районна програма охорони і збереження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культурної спадщини в Міловському районі на 2018-2020 роки</t>
    </r>
  </si>
  <si>
    <t>Районна програма розвитку клубних закладів Міловського району на 208-2021 роки</t>
  </si>
  <si>
    <t>0218831</t>
  </si>
  <si>
    <t xml:space="preserve">Надання кредиту </t>
  </si>
  <si>
    <t>8830</t>
  </si>
  <si>
    <t>0218830</t>
  </si>
  <si>
    <t>0218832</t>
  </si>
  <si>
    <t>П</t>
  </si>
  <si>
    <t>Біловодська ЦРЛ (за рахунок залишку коштів медичної субвенції)</t>
  </si>
  <si>
    <t>ОТГ смт Біловодськ</t>
  </si>
  <si>
    <t>0117693</t>
  </si>
  <si>
    <t>Інші заходи, пов'язані з економічною діяльністю</t>
  </si>
  <si>
    <t>0490</t>
  </si>
  <si>
    <t>Капітальний ремонт будівлі сільського будинку культури в с. Великоцьк, вул. Шкільна, буд. 2 Міловського району Луганської області</t>
  </si>
  <si>
    <t>Капітальний ремонт спортивної зали Великоцької ЗОШ І-ІІІ ступенів за адресою: с.Великоцьк, вул. Красногорська, 1 Міловського району, Луганської області</t>
  </si>
  <si>
    <t>0219570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</si>
  <si>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</si>
  <si>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</si>
  <si>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0617321</t>
  </si>
  <si>
    <t>Будівництво освітніх установ та закладів</t>
  </si>
  <si>
    <t>0443</t>
  </si>
  <si>
    <t>0810180</t>
  </si>
  <si>
    <t>Обласний бюджет</t>
  </si>
  <si>
    <t>співфінасування Регіональної цільової програми дорожнього будівництва у Луганській обл.на 2016-2019 роки на поточний середній ремонт окремих ділянок доріг "Микільск-Морозівка-Мусіївка-Бараніківка"-1,8 млн.грн., "Микільськ-Хоминське" - 200 тис.грн.</t>
  </si>
  <si>
    <t>Поточний ремонт диско залу в будівлі Новострільцівського сільського будинку культури</t>
  </si>
  <si>
    <t xml:space="preserve">Капітальний ремонт будівлі інфекційного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2д (корегування) </t>
  </si>
  <si>
    <t xml:space="preserve">Капітальний ремонт будівлі хірургічного відділення, Міловського районного територіального медичного об’єднання (РТМО) за адресою Луганська область, Міловський район, смт Мілове, вул. Первомайська, 2в (корегування) </t>
  </si>
  <si>
    <t>Розробка проектно-кошторисної документації та роботи "Реконструкція комерційного вузла обліку газу Комунального позашкільного навчального закладу "Міловська дитяча школа мистецтв" Міловської районної ради Луганської області"</t>
  </si>
  <si>
    <t>Проектні роботи по установкі узлів обліку Стрільцівської ЗОШ та Новострільцівської НВК</t>
  </si>
  <si>
    <t>Будівництво міні-котельні з інженерними мережами для Новострільцівського НВК "Дошкільний навчальний заклад "Сонечко" Новострільцівська загальноосвітня школа І-ІІІ ступенів" розташованої за адресою: с.Новострільцівка, вул. Садова, 54.</t>
  </si>
  <si>
    <t>Будівництво міні-котельні з інженерними мережами для Міловської гімназії розташованої за адресою: смт Мілове, вул. Шкільна, 1</t>
  </si>
  <si>
    <t>Спортивний майданчик зі штучним покриттям Міловський район по вул. Миру, 72А, с. Микільське-будівництво</t>
  </si>
  <si>
    <t>Коригування проектно-кошторисної документації "Капітальний ремонт будувлі комунальної установи "Міловська централізована бубліотечна системарайонної ради Луганської області" шляхом реалізації енергоефективних заходів за адресою:Луганська область, смт. Мілове, вул. Миру, 6"</t>
  </si>
  <si>
    <t>Районна програма національно-патріотичне виховання дітей та молоді Міловського району на 2018-2023 роки</t>
  </si>
  <si>
    <t>Районна програма виставково-ярмаркової діяльності агропромислового комплексу Міловського району на 2018-2020 роки</t>
  </si>
  <si>
    <t>Придбання службового житлового будинку та земельної ділянки для його обслуговування заступнику начальника Міловського відділу Старобільської місцевої прокуратури</t>
  </si>
  <si>
    <t xml:space="preserve">Придбання службового житла судді Міловського районного суду </t>
  </si>
  <si>
    <t>Субвенція з місцевого бюджету за рахунок залишку коштів освітньої субвенції, що утворився на початок бюджетного періоду</t>
  </si>
  <si>
    <t>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</si>
  <si>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</si>
  <si>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Зонування землі для ПМСД</t>
  </si>
  <si>
    <t>Органи управління</t>
  </si>
  <si>
    <t xml:space="preserve">Забезпечення якісної, сучасної та доступної загальної середньої освіти "Нова українська школа" за рахунок відповідної субвенції на закупівлю комп’ютерного обладнання, відповідного мультимедійного контенту для початкових класів </t>
  </si>
  <si>
    <t>Співфінансування забезпечення якісної, сучасної та доступної загальної середньої освіти "Нова українська школа"</t>
  </si>
  <si>
    <t>0218110</t>
  </si>
  <si>
    <t>Заходи із запобігання та ліквідації надзвичайних ситуацій та наслідків стихійного лиха</t>
  </si>
  <si>
    <t>0320</t>
  </si>
  <si>
    <t>Капітальні трансферти Міловська С/р - 813400, Великоцька С/р - 50000</t>
  </si>
  <si>
    <t>Будівництво волейбольних площадок</t>
  </si>
  <si>
    <t>0217321</t>
  </si>
  <si>
    <t>Фінансова підтримка ЖКП</t>
  </si>
  <si>
    <t>Капітальний ремонт заміни вікон в поліклініці і адмінкорпусі Міловського районного територіального медичного об’єднання  (РТМО) за адресою Луганська область, Міловський район, смт Мілове, вул. Первомайська, 2б</t>
  </si>
  <si>
    <t>Виготовлення проектно-кошторисної документації "Електропостачання та вентиляції харчоблоку Міловського районного територіального медичного об’єднання"  за адресою Луганська область, Міловський район, смт Мілове, вул. Первомайська, 2ж</t>
  </si>
  <si>
    <t>Співфінансування будівництва "Міловської лікарської амбулаторії загальної практики-сімейної медицини"</t>
  </si>
  <si>
    <t>Експертиза проектно-кошторисної документації "Капітальний ремонт будувлі комунальної установи "Міловська централізована бубліотечна системарайонної ради Луганської області" шляхом реалізації енергоефективних заходів за адресою:Луганська область, смт. Мілове, вул. Миру, 6"</t>
  </si>
  <si>
    <t>Районна програма "Інформатизація первинної ланки охорони здоров’я Міловського району на 2018-2020 роки"</t>
  </si>
  <si>
    <t>Комплексна районна програма створення умов для сталого функціонування та дінамічного розвитку первинної медичної допомоги у Міловському районі на 2018 рік</t>
  </si>
  <si>
    <t>Проведення попередніх археологічних досліджень археологічних пам’яток, для проведення інвентаризації та внесення змін до облікової документації</t>
  </si>
  <si>
    <t>Придбання персонального комп'ютера/ ноутбука та техніки для друкування, копіювання, сканування та ламінування з витратними матеріалами для початкової школи</t>
  </si>
  <si>
    <t>0617320</t>
  </si>
  <si>
    <t>0442</t>
  </si>
  <si>
    <t>Реконструкція існуючої газової котельні Великоцької ЗОШ І-ІІІ ступенів, розташованої за адресою: с. Великоцьк, вул. Красногорська, 1</t>
  </si>
  <si>
    <t>Реконструкція існуючої газової котельні Микільської ЗОШ І-ІІІ ступенів, розташованої за адресою: с. Микільськ, вул. Миру, 72А</t>
  </si>
  <si>
    <t>Реконструкція існуючої газової котельні Морозівської ЗОШ І-ІІІ ступенів, розташованої за адресою: с. Морозівка, вул. Центральна, 24А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</si>
</sst>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_ ;[Red]\-0.00\ 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_ ;[Red]\-#,##0.000\ 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_(* #,##0.00_);_(* \(#,##0.00\);_(* &quot;-&quot;??_);_(@_)"/>
    <numFmt numFmtId="214" formatCode="_(* #,##0_);_(* \(#,##0\);_(* &quot;-&quot;_);_(@_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0"/>
    </font>
    <font>
      <b/>
      <sz val="14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name val="Times New Roman"/>
      <family val="1"/>
    </font>
    <font>
      <sz val="16"/>
      <name val="Arial Cyr"/>
      <family val="0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2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2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3" fillId="13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4" fillId="0" borderId="14" xfId="0" applyFont="1" applyBorder="1" applyAlignment="1">
      <alignment horizontal="center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4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7" xfId="52" applyFont="1" applyBorder="1" applyAlignment="1">
      <alignment horizontal="center"/>
      <protection/>
    </xf>
    <xf numFmtId="0" fontId="28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1" fillId="0" borderId="13" xfId="107" applyFont="1" applyFill="1" applyBorder="1" applyAlignment="1">
      <alignment horizontal="center" vertical="center" wrapText="1"/>
      <protection/>
    </xf>
    <xf numFmtId="0" fontId="28" fillId="0" borderId="0" xfId="107" applyFont="1">
      <alignment/>
      <protection/>
    </xf>
    <xf numFmtId="0" fontId="28" fillId="0" borderId="0" xfId="107" applyFont="1" applyAlignment="1">
      <alignment horizontal="right"/>
      <protection/>
    </xf>
    <xf numFmtId="0" fontId="28" fillId="0" borderId="0" xfId="0" applyFont="1" applyAlignment="1">
      <alignment horizontal="left" vertical="justify" wrapText="1"/>
    </xf>
    <xf numFmtId="0" fontId="21" fillId="0" borderId="19" xfId="107" applyFont="1" applyFill="1" applyBorder="1" applyAlignment="1">
      <alignment horizontal="left" vertical="justify" wrapText="1"/>
      <protection/>
    </xf>
    <xf numFmtId="0" fontId="21" fillId="0" borderId="13" xfId="106" applyFont="1" applyBorder="1" applyAlignment="1">
      <alignment vertical="center"/>
      <protection/>
    </xf>
    <xf numFmtId="0" fontId="21" fillId="0" borderId="13" xfId="106" applyFont="1" applyBorder="1" applyAlignment="1">
      <alignment vertical="center" wrapText="1"/>
      <protection/>
    </xf>
    <xf numFmtId="0" fontId="28" fillId="0" borderId="13" xfId="106" applyFont="1" applyBorder="1" applyAlignment="1">
      <alignment vertical="center"/>
      <protection/>
    </xf>
    <xf numFmtId="0" fontId="28" fillId="0" borderId="13" xfId="106" applyFont="1" applyBorder="1" applyAlignment="1">
      <alignment vertical="center" wrapText="1"/>
      <protection/>
    </xf>
    <xf numFmtId="2" fontId="21" fillId="0" borderId="13" xfId="106" applyNumberFormat="1" applyFont="1" applyFill="1" applyBorder="1" applyAlignment="1">
      <alignment horizontal="center" vertical="center" wrapText="1"/>
      <protection/>
    </xf>
    <xf numFmtId="2" fontId="21" fillId="0" borderId="13" xfId="106" applyNumberFormat="1" applyFont="1" applyBorder="1" applyAlignment="1">
      <alignment horizontal="center" vertical="center" wrapText="1"/>
      <protection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4" fontId="40" fillId="0" borderId="13" xfId="0" applyNumberFormat="1" applyFont="1" applyBorder="1" applyAlignment="1">
      <alignment vertical="justify"/>
    </xf>
    <xf numFmtId="4" fontId="41" fillId="0" borderId="13" xfId="0" applyNumberFormat="1" applyFont="1" applyBorder="1" applyAlignment="1">
      <alignment vertical="justify"/>
    </xf>
    <xf numFmtId="0" fontId="30" fillId="0" borderId="2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210" fontId="23" fillId="0" borderId="0" xfId="0" applyNumberFormat="1" applyFont="1" applyAlignment="1">
      <alignment/>
    </xf>
    <xf numFmtId="210" fontId="37" fillId="0" borderId="0" xfId="0" applyNumberFormat="1" applyFont="1" applyAlignment="1">
      <alignment/>
    </xf>
    <xf numFmtId="1" fontId="37" fillId="26" borderId="13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horizontal="center" vertical="top"/>
      <protection/>
    </xf>
    <xf numFmtId="2" fontId="58" fillId="0" borderId="13" xfId="0" applyNumberFormat="1" applyFont="1" applyBorder="1" applyAlignment="1">
      <alignment vertical="justify"/>
    </xf>
    <xf numFmtId="49" fontId="57" fillId="0" borderId="13" xfId="0" applyNumberFormat="1" applyFont="1" applyFill="1" applyBorder="1" applyAlignment="1" applyProtection="1">
      <alignment vertical="top"/>
      <protection/>
    </xf>
    <xf numFmtId="2" fontId="57" fillId="0" borderId="13" xfId="0" applyNumberFormat="1" applyFont="1" applyFill="1" applyBorder="1" applyAlignment="1" applyProtection="1">
      <alignment vertical="top"/>
      <protection/>
    </xf>
    <xf numFmtId="2" fontId="21" fillId="0" borderId="13" xfId="0" applyNumberFormat="1" applyFont="1" applyFill="1" applyBorder="1" applyAlignment="1" applyProtection="1">
      <alignment vertical="top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/>
    </xf>
    <xf numFmtId="0" fontId="5" fillId="0" borderId="13" xfId="52" applyFont="1" applyBorder="1" applyAlignment="1">
      <alignment horizontal="right"/>
      <protection/>
    </xf>
    <xf numFmtId="0" fontId="5" fillId="0" borderId="17" xfId="52" applyFont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right"/>
    </xf>
    <xf numFmtId="0" fontId="61" fillId="0" borderId="13" xfId="0" applyFont="1" applyBorder="1" applyAlignment="1">
      <alignment horizontal="right" wrapText="1"/>
    </xf>
    <xf numFmtId="0" fontId="5" fillId="0" borderId="13" xfId="52" applyFont="1" applyBorder="1" applyAlignment="1">
      <alignment horizontal="right" wrapText="1"/>
      <protection/>
    </xf>
    <xf numFmtId="0" fontId="5" fillId="0" borderId="22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wrapText="1"/>
    </xf>
    <xf numFmtId="2" fontId="5" fillId="0" borderId="13" xfId="107" applyNumberFormat="1" applyFont="1" applyFill="1" applyBorder="1" applyAlignment="1">
      <alignment horizontal="center" vertical="center"/>
      <protection/>
    </xf>
    <xf numFmtId="2" fontId="37" fillId="0" borderId="13" xfId="107" applyNumberFormat="1" applyFont="1" applyFill="1" applyBorder="1" applyAlignment="1">
      <alignment horizontal="center" vertical="center"/>
      <protection/>
    </xf>
    <xf numFmtId="4" fontId="55" fillId="0" borderId="13" xfId="96" applyNumberFormat="1" applyFont="1" applyBorder="1">
      <alignment vertical="top"/>
      <protection/>
    </xf>
    <xf numFmtId="4" fontId="56" fillId="0" borderId="13" xfId="96" applyNumberFormat="1" applyFont="1" applyBorder="1">
      <alignment vertical="top"/>
      <protection/>
    </xf>
    <xf numFmtId="192" fontId="56" fillId="0" borderId="13" xfId="96" applyNumberFormat="1" applyFont="1" applyBorder="1" applyAlignment="1">
      <alignment vertical="top" wrapText="1"/>
      <protection/>
    </xf>
    <xf numFmtId="192" fontId="56" fillId="0" borderId="13" xfId="96" applyNumberFormat="1" applyFont="1" applyBorder="1">
      <alignment vertical="top"/>
      <protection/>
    </xf>
    <xf numFmtId="2" fontId="57" fillId="0" borderId="13" xfId="0" applyNumberFormat="1" applyFont="1" applyFill="1" applyBorder="1" applyAlignment="1">
      <alignment horizontal="center" vertical="center" wrapText="1"/>
    </xf>
    <xf numFmtId="0" fontId="24" fillId="0" borderId="0" xfId="110">
      <alignment/>
      <protection/>
    </xf>
    <xf numFmtId="0" fontId="64" fillId="0" borderId="0" xfId="110" applyFont="1" applyAlignment="1">
      <alignment horizontal="right"/>
      <protection/>
    </xf>
    <xf numFmtId="0" fontId="24" fillId="0" borderId="13" xfId="110" applyBorder="1">
      <alignment/>
      <protection/>
    </xf>
    <xf numFmtId="0" fontId="21" fillId="0" borderId="13" xfId="110" applyFont="1" applyBorder="1" applyAlignment="1">
      <alignment horizontal="center" vertical="center" wrapText="1"/>
      <protection/>
    </xf>
    <xf numFmtId="0" fontId="64" fillId="0" borderId="0" xfId="110" applyFont="1">
      <alignment/>
      <protection/>
    </xf>
    <xf numFmtId="0" fontId="28" fillId="0" borderId="0" xfId="110" applyFont="1">
      <alignment/>
      <protection/>
    </xf>
    <xf numFmtId="0" fontId="37" fillId="0" borderId="0" xfId="110" applyFont="1">
      <alignment/>
      <protection/>
    </xf>
    <xf numFmtId="0" fontId="37" fillId="0" borderId="0" xfId="110" applyFont="1" applyAlignment="1">
      <alignment horizontal="center"/>
      <protection/>
    </xf>
    <xf numFmtId="0" fontId="64" fillId="0" borderId="13" xfId="110" applyFont="1" applyFill="1" applyBorder="1" applyAlignment="1">
      <alignment horizontal="center"/>
      <protection/>
    </xf>
    <xf numFmtId="0" fontId="64" fillId="0" borderId="13" xfId="110" applyFont="1" applyFill="1" applyBorder="1">
      <alignment/>
      <protection/>
    </xf>
    <xf numFmtId="0" fontId="65" fillId="0" borderId="13" xfId="110" applyFont="1" applyFill="1" applyBorder="1" applyAlignment="1">
      <alignment horizontal="center"/>
      <protection/>
    </xf>
    <xf numFmtId="1" fontId="65" fillId="0" borderId="13" xfId="110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2" fontId="21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3" xfId="109" applyFont="1" applyFill="1" applyBorder="1" applyAlignment="1">
      <alignment horizontal="center" vertical="top"/>
      <protection/>
    </xf>
    <xf numFmtId="1" fontId="37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" fontId="37" fillId="26" borderId="22" xfId="0" applyNumberFormat="1" applyFont="1" applyFill="1" applyBorder="1" applyAlignment="1">
      <alignment horizontal="center" vertical="center" wrapText="1"/>
    </xf>
    <xf numFmtId="1" fontId="3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28" fillId="0" borderId="13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justify" wrapText="1"/>
      <protection/>
    </xf>
    <xf numFmtId="0" fontId="21" fillId="0" borderId="23" xfId="107" applyFont="1" applyFill="1" applyBorder="1" applyAlignment="1">
      <alignment horizontal="center" vertical="center" wrapText="1"/>
      <protection/>
    </xf>
    <xf numFmtId="0" fontId="21" fillId="0" borderId="13" xfId="107" applyFont="1" applyFill="1" applyBorder="1" applyAlignment="1">
      <alignment horizontal="left" vertical="justify" wrapText="1"/>
      <protection/>
    </xf>
    <xf numFmtId="205" fontId="21" fillId="0" borderId="13" xfId="106" applyNumberFormat="1" applyFont="1" applyFill="1" applyBorder="1" applyAlignment="1">
      <alignment horizontal="center" vertical="center"/>
      <protection/>
    </xf>
    <xf numFmtId="205" fontId="28" fillId="0" borderId="13" xfId="106" applyNumberFormat="1" applyFont="1" applyFill="1" applyBorder="1" applyAlignment="1">
      <alignment horizontal="center" vertical="center"/>
      <protection/>
    </xf>
    <xf numFmtId="0" fontId="28" fillId="0" borderId="13" xfId="0" applyFont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49" fontId="28" fillId="20" borderId="13" xfId="0" applyNumberFormat="1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left" vertical="center" wrapText="1"/>
    </xf>
    <xf numFmtId="2" fontId="58" fillId="20" borderId="13" xfId="96" applyNumberFormat="1" applyFont="1" applyFill="1" applyBorder="1" applyAlignment="1">
      <alignment horizontal="center" vertical="center"/>
      <protection/>
    </xf>
    <xf numFmtId="2" fontId="57" fillId="20" borderId="13" xfId="0" applyNumberFormat="1" applyFont="1" applyFill="1" applyBorder="1" applyAlignment="1">
      <alignment horizontal="center" vertical="center" wrapText="1"/>
    </xf>
    <xf numFmtId="1" fontId="37" fillId="26" borderId="19" xfId="0" applyNumberFormat="1" applyFont="1" applyFill="1" applyBorder="1" applyAlignment="1">
      <alignment horizontal="center" vertical="center" wrapText="1"/>
    </xf>
    <xf numFmtId="1" fontId="37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37" fillId="26" borderId="19" xfId="0" applyNumberFormat="1" applyFont="1" applyFill="1" applyBorder="1" applyAlignment="1">
      <alignment horizontal="center" vertical="center" wrapText="1"/>
    </xf>
    <xf numFmtId="2" fontId="5" fillId="26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2" fontId="37" fillId="26" borderId="0" xfId="0" applyNumberFormat="1" applyFont="1" applyFill="1" applyBorder="1" applyAlignment="1">
      <alignment horizontal="center" vertical="center" wrapText="1"/>
    </xf>
    <xf numFmtId="2" fontId="5" fillId="27" borderId="13" xfId="107" applyNumberFormat="1" applyFont="1" applyFill="1" applyBorder="1" applyAlignment="1">
      <alignment horizontal="center" vertical="center"/>
      <protection/>
    </xf>
    <xf numFmtId="0" fontId="28" fillId="27" borderId="13" xfId="107" applyFont="1" applyFill="1" applyBorder="1" applyAlignment="1">
      <alignment horizontal="center" vertical="center" wrapText="1"/>
      <protection/>
    </xf>
    <xf numFmtId="0" fontId="28" fillId="27" borderId="13" xfId="107" applyFont="1" applyFill="1" applyBorder="1" applyAlignment="1">
      <alignment horizontal="left" vertical="justify" wrapText="1"/>
      <protection/>
    </xf>
    <xf numFmtId="2" fontId="37" fillId="27" borderId="13" xfId="107" applyNumberFormat="1" applyFont="1" applyFill="1" applyBorder="1" applyAlignment="1">
      <alignment horizontal="center" vertical="center"/>
      <protection/>
    </xf>
    <xf numFmtId="0" fontId="28" fillId="27" borderId="21" xfId="107" applyFont="1" applyFill="1" applyBorder="1" applyAlignment="1">
      <alignment horizontal="center" vertical="center" wrapText="1"/>
      <protection/>
    </xf>
    <xf numFmtId="0" fontId="28" fillId="0" borderId="21" xfId="107" applyFont="1" applyFill="1" applyBorder="1" applyAlignment="1">
      <alignment horizontal="center" vertical="center" wrapText="1"/>
      <protection/>
    </xf>
    <xf numFmtId="0" fontId="28" fillId="0" borderId="13" xfId="107" applyFont="1" applyFill="1" applyBorder="1" applyAlignment="1">
      <alignment horizontal="left" vertical="top" wrapText="1"/>
      <protection/>
    </xf>
    <xf numFmtId="0" fontId="0" fillId="0" borderId="22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30" fillId="20" borderId="13" xfId="0" applyNumberFormat="1" applyFont="1" applyFill="1" applyBorder="1" applyAlignment="1">
      <alignment horizontal="center" vertical="center" wrapText="1"/>
    </xf>
    <xf numFmtId="49" fontId="21" fillId="20" borderId="1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0" fontId="28" fillId="20" borderId="13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192" fontId="56" fillId="26" borderId="13" xfId="96" applyNumberFormat="1" applyFont="1" applyFill="1" applyBorder="1" applyAlignment="1">
      <alignment vertical="top" wrapText="1"/>
      <protection/>
    </xf>
    <xf numFmtId="192" fontId="56" fillId="26" borderId="13" xfId="96" applyNumberFormat="1" applyFont="1" applyFill="1" applyBorder="1">
      <alignment vertical="top"/>
      <protection/>
    </xf>
    <xf numFmtId="4" fontId="56" fillId="26" borderId="13" xfId="96" applyNumberFormat="1" applyFont="1" applyFill="1" applyBorder="1">
      <alignment vertical="top"/>
      <protection/>
    </xf>
    <xf numFmtId="192" fontId="28" fillId="26" borderId="13" xfId="96" applyNumberFormat="1" applyFont="1" applyFill="1" applyBorder="1" applyAlignment="1">
      <alignment vertical="top" wrapText="1"/>
      <protection/>
    </xf>
    <xf numFmtId="192" fontId="28" fillId="26" borderId="13" xfId="96" applyNumberFormat="1" applyFont="1" applyFill="1" applyBorder="1">
      <alignment vertical="top"/>
      <protection/>
    </xf>
    <xf numFmtId="4" fontId="28" fillId="26" borderId="13" xfId="96" applyNumberFormat="1" applyFont="1" applyFill="1" applyBorder="1">
      <alignment vertical="top"/>
      <protection/>
    </xf>
    <xf numFmtId="2" fontId="57" fillId="26" borderId="13" xfId="0" applyNumberFormat="1" applyFont="1" applyFill="1" applyBorder="1" applyAlignment="1">
      <alignment horizontal="center" vertical="center" wrapText="1"/>
    </xf>
    <xf numFmtId="2" fontId="58" fillId="26" borderId="13" xfId="96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2" fontId="58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wrapText="1"/>
    </xf>
    <xf numFmtId="2" fontId="55" fillId="0" borderId="13" xfId="9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justify" vertical="top" wrapText="1"/>
    </xf>
    <xf numFmtId="0" fontId="56" fillId="0" borderId="13" xfId="0" applyNumberFormat="1" applyFont="1" applyFill="1" applyBorder="1" applyAlignment="1">
      <alignment horizontal="left" vertical="top" wrapText="1"/>
    </xf>
    <xf numFmtId="192" fontId="55" fillId="0" borderId="13" xfId="96" applyNumberFormat="1" applyFont="1" applyFill="1" applyBorder="1">
      <alignment vertical="top"/>
      <protection/>
    </xf>
    <xf numFmtId="4" fontId="56" fillId="0" borderId="13" xfId="96" applyNumberFormat="1" applyFont="1" applyFill="1" applyBorder="1">
      <alignment vertical="top"/>
      <protection/>
    </xf>
    <xf numFmtId="192" fontId="56" fillId="0" borderId="13" xfId="96" applyNumberFormat="1" applyFont="1" applyFill="1" applyBorder="1" applyAlignment="1">
      <alignment vertical="top" wrapText="1"/>
      <protection/>
    </xf>
    <xf numFmtId="0" fontId="45" fillId="0" borderId="2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top" wrapText="1"/>
    </xf>
    <xf numFmtId="192" fontId="56" fillId="0" borderId="13" xfId="96" applyNumberFormat="1" applyFont="1" applyFill="1" applyBorder="1" applyAlignment="1">
      <alignment vertical="top" wrapText="1"/>
      <protection/>
    </xf>
    <xf numFmtId="0" fontId="28" fillId="0" borderId="13" xfId="0" applyFont="1" applyFill="1" applyBorder="1" applyAlignment="1" quotePrefix="1">
      <alignment vertical="top" wrapText="1"/>
    </xf>
    <xf numFmtId="192" fontId="55" fillId="0" borderId="13" xfId="96" applyNumberFormat="1" applyFont="1" applyFill="1" applyBorder="1" applyAlignment="1">
      <alignment vertical="top" wrapText="1"/>
      <protection/>
    </xf>
    <xf numFmtId="4" fontId="55" fillId="0" borderId="13" xfId="96" applyNumberFormat="1" applyFont="1" applyFill="1" applyBorder="1">
      <alignment vertical="top"/>
      <protection/>
    </xf>
    <xf numFmtId="0" fontId="5" fillId="26" borderId="13" xfId="0" applyFont="1" applyFill="1" applyBorder="1" applyAlignment="1">
      <alignment horizontal="left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2" fontId="21" fillId="26" borderId="13" xfId="0" applyNumberFormat="1" applyFont="1" applyFill="1" applyBorder="1" applyAlignment="1">
      <alignment horizontal="center" vertical="center" wrapText="1"/>
    </xf>
    <xf numFmtId="2" fontId="55" fillId="26" borderId="13" xfId="96" applyNumberFormat="1" applyFont="1" applyFill="1" applyBorder="1" applyAlignment="1">
      <alignment horizontal="center" vertical="center"/>
      <protection/>
    </xf>
    <xf numFmtId="0" fontId="31" fillId="26" borderId="13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justify" vertical="center" wrapText="1"/>
    </xf>
    <xf numFmtId="192" fontId="56" fillId="26" borderId="13" xfId="0" applyNumberFormat="1" applyFont="1" applyFill="1" applyBorder="1" applyAlignment="1">
      <alignment vertical="justify"/>
    </xf>
    <xf numFmtId="4" fontId="55" fillId="26" borderId="13" xfId="0" applyNumberFormat="1" applyFont="1" applyFill="1" applyBorder="1" applyAlignment="1">
      <alignment vertical="justify"/>
    </xf>
    <xf numFmtId="0" fontId="28" fillId="26" borderId="13" xfId="0" applyFont="1" applyFill="1" applyBorder="1" applyAlignment="1">
      <alignment horizontal="left" vertical="top" wrapText="1"/>
    </xf>
    <xf numFmtId="192" fontId="55" fillId="26" borderId="13" xfId="96" applyNumberFormat="1" applyFont="1" applyFill="1" applyBorder="1">
      <alignment vertical="top"/>
      <protection/>
    </xf>
    <xf numFmtId="4" fontId="55" fillId="26" borderId="13" xfId="96" applyNumberFormat="1" applyFont="1" applyFill="1" applyBorder="1">
      <alignment vertical="top"/>
      <protection/>
    </xf>
    <xf numFmtId="0" fontId="62" fillId="0" borderId="24" xfId="111" applyFont="1" applyFill="1" applyBorder="1" applyAlignment="1">
      <alignment vertical="top" wrapText="1"/>
      <protection/>
    </xf>
    <xf numFmtId="0" fontId="28" fillId="0" borderId="25" xfId="0" applyFont="1" applyFill="1" applyBorder="1" applyAlignment="1">
      <alignment vertical="top" wrapText="1"/>
    </xf>
    <xf numFmtId="2" fontId="5" fillId="0" borderId="22" xfId="0" applyNumberFormat="1" applyFont="1" applyBorder="1" applyAlignment="1">
      <alignment horizontal="center" vertical="center" wrapText="1"/>
    </xf>
    <xf numFmtId="0" fontId="21" fillId="0" borderId="13" xfId="108" applyFont="1" applyBorder="1" applyAlignment="1" quotePrefix="1">
      <alignment horizontal="center" vertical="center" wrapText="1"/>
      <protection/>
    </xf>
    <xf numFmtId="2" fontId="21" fillId="0" borderId="13" xfId="108" applyNumberFormat="1" applyFont="1" applyBorder="1" applyAlignment="1" quotePrefix="1">
      <alignment vertical="top" wrapText="1"/>
      <protection/>
    </xf>
    <xf numFmtId="0" fontId="28" fillId="0" borderId="13" xfId="108" applyFont="1" applyBorder="1" applyAlignment="1">
      <alignment horizontal="center" vertical="center" wrapText="1"/>
      <protection/>
    </xf>
    <xf numFmtId="0" fontId="28" fillId="0" borderId="13" xfId="108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horizontal="center" vertical="center" wrapText="1"/>
      <protection/>
    </xf>
    <xf numFmtId="2" fontId="28" fillId="0" borderId="13" xfId="108" applyNumberFormat="1" applyFont="1" applyBorder="1" applyAlignment="1" quotePrefix="1">
      <alignment vertical="top" wrapText="1"/>
      <protection/>
    </xf>
    <xf numFmtId="2" fontId="5" fillId="0" borderId="13" xfId="108" applyNumberFormat="1" applyFont="1" applyBorder="1" applyAlignment="1">
      <alignment vertical="center" wrapText="1"/>
      <protection/>
    </xf>
    <xf numFmtId="2" fontId="37" fillId="0" borderId="13" xfId="108" applyNumberFormat="1" applyFont="1" applyBorder="1" applyAlignment="1">
      <alignment vertical="center" wrapText="1"/>
      <protection/>
    </xf>
    <xf numFmtId="0" fontId="5" fillId="0" borderId="13" xfId="108" applyFont="1" applyBorder="1" applyAlignment="1" quotePrefix="1">
      <alignment horizontal="center" vertical="center" wrapText="1"/>
      <protection/>
    </xf>
    <xf numFmtId="0" fontId="5" fillId="0" borderId="13" xfId="108" applyFont="1" applyBorder="1" applyAlignment="1">
      <alignment horizontal="center" vertical="center" wrapText="1"/>
      <protection/>
    </xf>
    <xf numFmtId="2" fontId="5" fillId="0" borderId="13" xfId="108" applyNumberFormat="1" applyFont="1" applyBorder="1" applyAlignment="1">
      <alignment horizontal="center" vertical="center" wrapText="1"/>
      <protection/>
    </xf>
    <xf numFmtId="0" fontId="37" fillId="0" borderId="13" xfId="108" applyFont="1" applyBorder="1" applyAlignment="1" quotePrefix="1">
      <alignment horizontal="center" vertical="center" wrapText="1"/>
      <protection/>
    </xf>
    <xf numFmtId="2" fontId="37" fillId="0" borderId="13" xfId="108" applyNumberFormat="1" applyFont="1" applyBorder="1" applyAlignment="1" quotePrefix="1">
      <alignment horizontal="center" vertical="center" wrapText="1"/>
      <protection/>
    </xf>
    <xf numFmtId="0" fontId="28" fillId="0" borderId="13" xfId="108" applyFont="1" applyFill="1" applyBorder="1" applyAlignment="1">
      <alignment horizontal="center" vertical="center" wrapText="1"/>
      <protection/>
    </xf>
    <xf numFmtId="2" fontId="5" fillId="0" borderId="13" xfId="108" applyNumberFormat="1" applyFont="1" applyFill="1" applyBorder="1" applyAlignment="1">
      <alignment vertical="center" wrapText="1"/>
      <protection/>
    </xf>
    <xf numFmtId="2" fontId="37" fillId="0" borderId="13" xfId="108" applyNumberFormat="1" applyFont="1" applyFill="1" applyBorder="1" applyAlignment="1">
      <alignment vertical="center" wrapText="1"/>
      <protection/>
    </xf>
    <xf numFmtId="0" fontId="21" fillId="0" borderId="13" xfId="108" applyFont="1" applyFill="1" applyBorder="1" applyAlignment="1">
      <alignment horizontal="center" vertical="center" wrapText="1"/>
      <protection/>
    </xf>
    <xf numFmtId="0" fontId="21" fillId="0" borderId="13" xfId="108" applyFont="1" applyFill="1" applyBorder="1" applyAlignment="1" quotePrefix="1">
      <alignment horizontal="center" vertical="center" wrapText="1"/>
      <protection/>
    </xf>
    <xf numFmtId="2" fontId="21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>
      <alignment vertical="top" wrapText="1"/>
      <protection/>
    </xf>
    <xf numFmtId="0" fontId="67" fillId="0" borderId="0" xfId="0" applyFont="1" applyFill="1" applyAlignment="1">
      <alignment/>
    </xf>
    <xf numFmtId="210" fontId="68" fillId="0" borderId="0" xfId="0" applyNumberFormat="1" applyFont="1" applyAlignment="1">
      <alignment/>
    </xf>
    <xf numFmtId="0" fontId="67" fillId="0" borderId="0" xfId="0" applyNumberFormat="1" applyFont="1" applyFill="1" applyAlignment="1" applyProtection="1">
      <alignment/>
      <protection/>
    </xf>
    <xf numFmtId="210" fontId="67" fillId="0" borderId="0" xfId="0" applyNumberFormat="1" applyFont="1" applyAlignment="1">
      <alignment/>
    </xf>
    <xf numFmtId="0" fontId="28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8" fillId="26" borderId="13" xfId="0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top" wrapText="1"/>
    </xf>
    <xf numFmtId="192" fontId="28" fillId="0" borderId="13" xfId="96" applyNumberFormat="1" applyFont="1" applyFill="1" applyBorder="1" applyAlignment="1">
      <alignment vertical="top" wrapText="1"/>
      <protection/>
    </xf>
    <xf numFmtId="192" fontId="28" fillId="0" borderId="13" xfId="96" applyNumberFormat="1" applyFont="1" applyFill="1" applyBorder="1">
      <alignment vertical="top"/>
      <protection/>
    </xf>
    <xf numFmtId="4" fontId="28" fillId="0" borderId="13" xfId="96" applyNumberFormat="1" applyFont="1" applyFill="1" applyBorder="1">
      <alignment vertical="top"/>
      <protection/>
    </xf>
    <xf numFmtId="2" fontId="28" fillId="0" borderId="13" xfId="108" applyNumberFormat="1" applyFont="1" applyBorder="1" applyAlignment="1">
      <alignment vertical="top" wrapText="1"/>
      <protection/>
    </xf>
    <xf numFmtId="49" fontId="37" fillId="0" borderId="13" xfId="108" applyNumberFormat="1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vertical="top" wrapText="1"/>
    </xf>
    <xf numFmtId="1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92" fontId="21" fillId="0" borderId="13" xfId="96" applyNumberFormat="1" applyFont="1" applyFill="1" applyBorder="1">
      <alignment vertical="top"/>
      <protection/>
    </xf>
    <xf numFmtId="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0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1" fillId="26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vertical="center" wrapText="1"/>
    </xf>
    <xf numFmtId="4" fontId="57" fillId="0" borderId="13" xfId="0" applyNumberFormat="1" applyFont="1" applyFill="1" applyBorder="1" applyAlignment="1" applyProtection="1">
      <alignment vertical="top"/>
      <protection/>
    </xf>
    <xf numFmtId="0" fontId="67" fillId="26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67" fillId="4" borderId="0" xfId="0" applyFont="1" applyFill="1" applyAlignment="1">
      <alignment horizontal="center" vertical="top"/>
    </xf>
    <xf numFmtId="0" fontId="67" fillId="13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28" fillId="0" borderId="26" xfId="0" applyFont="1" applyFill="1" applyBorder="1" applyAlignment="1">
      <alignment vertical="top" wrapText="1"/>
    </xf>
    <xf numFmtId="2" fontId="37" fillId="26" borderId="13" xfId="0" applyNumberFormat="1" applyFont="1" applyFill="1" applyBorder="1" applyAlignment="1">
      <alignment horizontal="center" vertical="center" wrapText="1"/>
    </xf>
    <xf numFmtId="2" fontId="37" fillId="26" borderId="13" xfId="107" applyNumberFormat="1" applyFont="1" applyFill="1" applyBorder="1" applyAlignment="1">
      <alignment horizontal="center" vertical="center"/>
      <protection/>
    </xf>
    <xf numFmtId="49" fontId="37" fillId="13" borderId="13" xfId="108" applyNumberFormat="1" applyFont="1" applyFill="1" applyBorder="1" applyAlignment="1">
      <alignment horizontal="center" vertical="center" wrapText="1"/>
      <protection/>
    </xf>
    <xf numFmtId="0" fontId="37" fillId="13" borderId="13" xfId="108" applyFont="1" applyFill="1" applyBorder="1" applyAlignment="1" quotePrefix="1">
      <alignment horizontal="center" vertical="center" wrapText="1"/>
      <protection/>
    </xf>
    <xf numFmtId="2" fontId="37" fillId="13" borderId="13" xfId="108" applyNumberFormat="1" applyFont="1" applyFill="1" applyBorder="1" applyAlignment="1" quotePrefix="1">
      <alignment horizontal="center" vertical="center" wrapText="1"/>
      <protection/>
    </xf>
    <xf numFmtId="2" fontId="28" fillId="13" borderId="13" xfId="108" applyNumberFormat="1" applyFont="1" applyFill="1" applyBorder="1" applyAlignment="1">
      <alignment vertical="top" wrapText="1"/>
      <protection/>
    </xf>
    <xf numFmtId="0" fontId="5" fillId="0" borderId="13" xfId="108" applyFont="1" applyFill="1" applyBorder="1" applyAlignment="1" quotePrefix="1">
      <alignment horizontal="center" vertical="center" wrapText="1"/>
      <protection/>
    </xf>
    <xf numFmtId="2" fontId="5" fillId="0" borderId="13" xfId="108" applyNumberFormat="1" applyFont="1" applyFill="1" applyBorder="1" applyAlignment="1">
      <alignment horizontal="center" vertical="center" wrapText="1"/>
      <protection/>
    </xf>
    <xf numFmtId="2" fontId="21" fillId="0" borderId="13" xfId="108" applyNumberFormat="1" applyFont="1" applyFill="1" applyBorder="1" applyAlignment="1" quotePrefix="1">
      <alignment vertical="top" wrapText="1"/>
      <protection/>
    </xf>
    <xf numFmtId="0" fontId="37" fillId="0" borderId="13" xfId="108" applyFont="1" applyFill="1" applyBorder="1" applyAlignment="1" quotePrefix="1">
      <alignment horizontal="center" vertical="center" wrapText="1"/>
      <protection/>
    </xf>
    <xf numFmtId="1" fontId="37" fillId="0" borderId="2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right" vertical="center" wrapText="1"/>
    </xf>
    <xf numFmtId="2" fontId="28" fillId="0" borderId="1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top" wrapText="1"/>
    </xf>
    <xf numFmtId="2" fontId="58" fillId="0" borderId="13" xfId="0" applyNumberFormat="1" applyFont="1" applyFill="1" applyBorder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justify" vertical="center" wrapText="1"/>
    </xf>
    <xf numFmtId="2" fontId="37" fillId="0" borderId="13" xfId="108" applyNumberFormat="1" applyFont="1" applyFill="1" applyBorder="1" applyAlignment="1" quotePrefix="1">
      <alignment horizontal="center" vertical="center" wrapText="1"/>
      <protection/>
    </xf>
    <xf numFmtId="2" fontId="28" fillId="0" borderId="13" xfId="108" applyNumberFormat="1" applyFont="1" applyFill="1" applyBorder="1" applyAlignment="1" quotePrefix="1">
      <alignment vertical="top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106" applyFont="1" applyBorder="1" applyAlignment="1">
      <alignment horizontal="center" vertical="center" wrapText="1"/>
      <protection/>
    </xf>
    <xf numFmtId="0" fontId="21" fillId="0" borderId="13" xfId="106" applyFont="1" applyFill="1" applyBorder="1" applyAlignment="1">
      <alignment horizontal="center" vertical="center" wrapText="1"/>
      <protection/>
    </xf>
    <xf numFmtId="0" fontId="21" fillId="0" borderId="22" xfId="106" applyNumberFormat="1" applyFont="1" applyBorder="1" applyAlignment="1">
      <alignment horizontal="center" vertical="center" wrapText="1"/>
      <protection/>
    </xf>
    <xf numFmtId="0" fontId="5" fillId="0" borderId="0" xfId="107" applyFont="1" applyAlignment="1">
      <alignment horizontal="center"/>
      <protection/>
    </xf>
    <xf numFmtId="0" fontId="37" fillId="0" borderId="0" xfId="107" applyFont="1" applyAlignment="1">
      <alignment horizontal="center"/>
      <protection/>
    </xf>
    <xf numFmtId="0" fontId="21" fillId="0" borderId="13" xfId="107" applyFont="1" applyFill="1" applyBorder="1" applyAlignment="1">
      <alignment horizontal="center" vertical="center" wrapText="1"/>
      <protection/>
    </xf>
    <xf numFmtId="0" fontId="21" fillId="0" borderId="21" xfId="107" applyFont="1" applyFill="1" applyBorder="1" applyAlignment="1">
      <alignment horizontal="center" vertical="center" wrapText="1"/>
      <protection/>
    </xf>
    <xf numFmtId="0" fontId="21" fillId="0" borderId="23" xfId="107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9" xfId="106" applyNumberFormat="1" applyFont="1" applyBorder="1" applyAlignment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3" xfId="108" applyFont="1" applyBorder="1" applyAlignment="1">
      <alignment horizontal="center" vertical="center" wrapText="1"/>
      <protection/>
    </xf>
    <xf numFmtId="0" fontId="31" fillId="0" borderId="13" xfId="108" applyFont="1" applyFill="1" applyBorder="1" applyAlignment="1">
      <alignment horizontal="center" vertical="center" wrapText="1"/>
      <protection/>
    </xf>
    <xf numFmtId="0" fontId="31" fillId="0" borderId="22" xfId="108" applyFont="1" applyBorder="1" applyAlignment="1">
      <alignment horizontal="center" vertical="center" wrapText="1"/>
      <protection/>
    </xf>
    <xf numFmtId="0" fontId="31" fillId="0" borderId="29" xfId="10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1" fillId="0" borderId="19" xfId="108" applyFont="1" applyBorder="1" applyAlignment="1">
      <alignment horizontal="center" vertical="center" wrapText="1"/>
      <protection/>
    </xf>
    <xf numFmtId="0" fontId="31" fillId="0" borderId="21" xfId="108" applyFont="1" applyBorder="1" applyAlignment="1">
      <alignment horizontal="center" vertical="top" wrapText="1"/>
      <protection/>
    </xf>
    <xf numFmtId="0" fontId="31" fillId="0" borderId="23" xfId="108" applyFont="1" applyBorder="1" applyAlignment="1">
      <alignment horizontal="center" vertical="top" wrapText="1"/>
      <protection/>
    </xf>
    <xf numFmtId="0" fontId="21" fillId="26" borderId="22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2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2" fontId="56" fillId="0" borderId="13" xfId="96" applyNumberFormat="1" applyFont="1" applyFill="1" applyBorder="1" applyAlignment="1">
      <alignment horizontal="center" vertical="center"/>
      <protection/>
    </xf>
    <xf numFmtId="2" fontId="58" fillId="0" borderId="13" xfId="96" applyNumberFormat="1" applyFont="1" applyFill="1" applyBorder="1" applyAlignment="1">
      <alignment horizontal="center" vertical="center"/>
      <protection/>
    </xf>
    <xf numFmtId="2" fontId="58" fillId="26" borderId="13" xfId="96" applyNumberFormat="1" applyFont="1" applyFill="1" applyBorder="1" applyAlignment="1">
      <alignment horizontal="center" vertical="center"/>
      <protection/>
    </xf>
    <xf numFmtId="0" fontId="21" fillId="20" borderId="13" xfId="0" applyFont="1" applyFill="1" applyBorder="1" applyAlignment="1">
      <alignment vertical="center" wrapText="1"/>
    </xf>
    <xf numFmtId="2" fontId="21" fillId="20" borderId="13" xfId="0" applyNumberFormat="1" applyFont="1" applyFill="1" applyBorder="1" applyAlignment="1">
      <alignment horizontal="center" vertical="center" wrapText="1"/>
    </xf>
    <xf numFmtId="4" fontId="55" fillId="26" borderId="13" xfId="0" applyNumberFormat="1" applyFont="1" applyFill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.2" xfId="106"/>
    <cellStyle name="Обычный_дод.1" xfId="107"/>
    <cellStyle name="Обычный_дод.3" xfId="108"/>
    <cellStyle name="Обычный_дод.5" xfId="109"/>
    <cellStyle name="Обычный_дод.8" xfId="110"/>
    <cellStyle name="Обычный_Лист1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85" zoomScaleNormal="75" zoomScaleSheetLayoutView="85" workbookViewId="0" topLeftCell="A1">
      <pane xSplit="5" ySplit="10" topLeftCell="F6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5" sqref="D15"/>
    </sheetView>
  </sheetViews>
  <sheetFormatPr defaultColWidth="9.33203125" defaultRowHeight="12.75"/>
  <cols>
    <col min="1" max="1" width="12.5" style="0" customWidth="1"/>
    <col min="2" max="2" width="55.83203125" style="0" customWidth="1"/>
    <col min="3" max="3" width="20.5" style="0" customWidth="1"/>
    <col min="4" max="4" width="23.16015625" style="0" customWidth="1"/>
    <col min="5" max="5" width="19.66015625" style="0" customWidth="1"/>
    <col min="6" max="6" width="22.83203125" style="0" customWidth="1"/>
  </cols>
  <sheetData>
    <row r="1" spans="1:6" ht="15.75">
      <c r="A1" s="60"/>
      <c r="B1" s="60"/>
      <c r="C1" s="60"/>
      <c r="D1" s="60" t="s">
        <v>86</v>
      </c>
      <c r="E1" s="60"/>
      <c r="F1" s="60"/>
    </row>
    <row r="2" spans="1:6" ht="15.75">
      <c r="A2" s="60"/>
      <c r="B2" s="60"/>
      <c r="C2" s="60"/>
      <c r="D2" s="60" t="s">
        <v>108</v>
      </c>
      <c r="E2" s="60"/>
      <c r="F2" s="60"/>
    </row>
    <row r="3" spans="1:6" ht="15.75">
      <c r="A3" s="60"/>
      <c r="B3" s="60"/>
      <c r="C3" s="60"/>
      <c r="D3" s="60"/>
      <c r="E3" s="60"/>
      <c r="F3" s="60"/>
    </row>
    <row r="4" spans="1:6" ht="15.75">
      <c r="A4" s="60"/>
      <c r="B4" s="60"/>
      <c r="C4" s="60"/>
      <c r="D4" s="60" t="s">
        <v>109</v>
      </c>
      <c r="E4" s="60"/>
      <c r="F4" s="60"/>
    </row>
    <row r="5" spans="1:6" ht="15.75">
      <c r="A5" s="60"/>
      <c r="B5" s="60"/>
      <c r="C5" s="60"/>
      <c r="D5" s="60"/>
      <c r="E5" s="60"/>
      <c r="F5" s="60"/>
    </row>
    <row r="6" spans="1:6" ht="18.75">
      <c r="A6" s="311" t="s">
        <v>295</v>
      </c>
      <c r="B6" s="312"/>
      <c r="C6" s="312"/>
      <c r="D6" s="312"/>
      <c r="E6" s="312"/>
      <c r="F6" s="312"/>
    </row>
    <row r="7" spans="1:6" ht="15.75">
      <c r="A7" s="60"/>
      <c r="B7" s="60"/>
      <c r="C7" s="60"/>
      <c r="D7" s="60"/>
      <c r="E7" s="60"/>
      <c r="F7" s="61" t="s">
        <v>87</v>
      </c>
    </row>
    <row r="8" spans="1:6" ht="15.75">
      <c r="A8" s="313" t="s">
        <v>38</v>
      </c>
      <c r="B8" s="313" t="s">
        <v>88</v>
      </c>
      <c r="C8" s="313" t="s">
        <v>52</v>
      </c>
      <c r="D8" s="313" t="s">
        <v>49</v>
      </c>
      <c r="E8" s="313" t="s">
        <v>50</v>
      </c>
      <c r="F8" s="313"/>
    </row>
    <row r="9" spans="1:6" ht="12.75" customHeight="1">
      <c r="A9" s="313"/>
      <c r="B9" s="313"/>
      <c r="C9" s="313"/>
      <c r="D9" s="313"/>
      <c r="E9" s="314" t="s">
        <v>52</v>
      </c>
      <c r="F9" s="314" t="s">
        <v>69</v>
      </c>
    </row>
    <row r="10" spans="1:6" ht="17.25" customHeight="1">
      <c r="A10" s="313"/>
      <c r="B10" s="313"/>
      <c r="C10" s="313"/>
      <c r="D10" s="313"/>
      <c r="E10" s="315"/>
      <c r="F10" s="315"/>
    </row>
    <row r="11" spans="1:6" ht="15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</row>
    <row r="12" spans="1:6" ht="18.75">
      <c r="A12" s="59">
        <v>10000000</v>
      </c>
      <c r="B12" s="144" t="s">
        <v>89</v>
      </c>
      <c r="C12" s="110">
        <f>D12+E12</f>
        <v>23359792</v>
      </c>
      <c r="D12" s="110">
        <f aca="true" t="shared" si="0" ref="D12:F14">D13</f>
        <v>23359792</v>
      </c>
      <c r="E12" s="110">
        <f t="shared" si="0"/>
        <v>0</v>
      </c>
      <c r="F12" s="110">
        <f t="shared" si="0"/>
        <v>0</v>
      </c>
    </row>
    <row r="13" spans="1:6" ht="29.25" customHeight="1">
      <c r="A13" s="59">
        <v>11000000</v>
      </c>
      <c r="B13" s="144" t="s">
        <v>90</v>
      </c>
      <c r="C13" s="110">
        <f aca="true" t="shared" si="1" ref="C13:C32">D13+E13</f>
        <v>23359792</v>
      </c>
      <c r="D13" s="110">
        <f>D14+D16</f>
        <v>23359792</v>
      </c>
      <c r="E13" s="110">
        <f t="shared" si="0"/>
        <v>0</v>
      </c>
      <c r="F13" s="110">
        <f t="shared" si="0"/>
        <v>0</v>
      </c>
    </row>
    <row r="14" spans="1:6" ht="18.75">
      <c r="A14" s="59">
        <v>11010000</v>
      </c>
      <c r="B14" s="144" t="s">
        <v>91</v>
      </c>
      <c r="C14" s="110">
        <f t="shared" si="1"/>
        <v>23336792</v>
      </c>
      <c r="D14" s="110">
        <f t="shared" si="0"/>
        <v>23336792</v>
      </c>
      <c r="E14" s="110">
        <f t="shared" si="0"/>
        <v>0</v>
      </c>
      <c r="F14" s="110">
        <f t="shared" si="0"/>
        <v>0</v>
      </c>
    </row>
    <row r="15" spans="1:6" ht="47.25" customHeight="1">
      <c r="A15" s="141">
        <v>11010100</v>
      </c>
      <c r="B15" s="142" t="s">
        <v>92</v>
      </c>
      <c r="C15" s="110">
        <f t="shared" si="1"/>
        <v>23336792</v>
      </c>
      <c r="D15" s="111">
        <f>20228500+761064-1510+10500+1023261+1314977</f>
        <v>23336792</v>
      </c>
      <c r="E15" s="111">
        <v>0</v>
      </c>
      <c r="F15" s="111">
        <v>0</v>
      </c>
    </row>
    <row r="16" spans="1:6" ht="17.25" customHeight="1">
      <c r="A16" s="59">
        <v>11020000</v>
      </c>
      <c r="B16" s="144" t="s">
        <v>211</v>
      </c>
      <c r="C16" s="110">
        <f t="shared" si="1"/>
        <v>23000</v>
      </c>
      <c r="D16" s="110">
        <f>D17</f>
        <v>23000</v>
      </c>
      <c r="E16" s="110">
        <f>E17</f>
        <v>0</v>
      </c>
      <c r="F16" s="110">
        <f>F17</f>
        <v>0</v>
      </c>
    </row>
    <row r="17" spans="1:6" ht="32.25" customHeight="1">
      <c r="A17" s="141">
        <v>11020200</v>
      </c>
      <c r="B17" s="167" t="s">
        <v>210</v>
      </c>
      <c r="C17" s="110">
        <f t="shared" si="1"/>
        <v>23000</v>
      </c>
      <c r="D17" s="111">
        <f>40000-17000</f>
        <v>23000</v>
      </c>
      <c r="E17" s="111">
        <v>0</v>
      </c>
      <c r="F17" s="111">
        <v>0</v>
      </c>
    </row>
    <row r="18" spans="1:6" ht="18.75">
      <c r="A18" s="59">
        <v>20000000</v>
      </c>
      <c r="B18" s="144" t="s">
        <v>93</v>
      </c>
      <c r="C18" s="110">
        <f t="shared" si="1"/>
        <v>466040</v>
      </c>
      <c r="D18" s="110">
        <f>D19+D23+D26</f>
        <v>17000</v>
      </c>
      <c r="E18" s="110">
        <f>E26</f>
        <v>449040</v>
      </c>
      <c r="F18" s="110">
        <f>F26</f>
        <v>0</v>
      </c>
    </row>
    <row r="19" spans="1:6" ht="31.5">
      <c r="A19" s="59">
        <v>22000000</v>
      </c>
      <c r="B19" s="144" t="s">
        <v>209</v>
      </c>
      <c r="C19" s="110">
        <f t="shared" si="1"/>
        <v>17000</v>
      </c>
      <c r="D19" s="110">
        <f>D20</f>
        <v>17000</v>
      </c>
      <c r="E19" s="110">
        <f>E20</f>
        <v>0</v>
      </c>
      <c r="F19" s="110">
        <f>F20</f>
        <v>0</v>
      </c>
    </row>
    <row r="20" spans="1:6" ht="18.75">
      <c r="A20" s="59">
        <v>22010000</v>
      </c>
      <c r="B20" s="144" t="s">
        <v>208</v>
      </c>
      <c r="C20" s="110">
        <f t="shared" si="1"/>
        <v>17000</v>
      </c>
      <c r="D20" s="110">
        <f>D21+D22</f>
        <v>17000</v>
      </c>
      <c r="E20" s="110">
        <f>E21+E22</f>
        <v>0</v>
      </c>
      <c r="F20" s="110">
        <f>F21+F22</f>
        <v>0</v>
      </c>
    </row>
    <row r="21" spans="1:6" ht="48" customHeight="1">
      <c r="A21" s="141">
        <v>22010300</v>
      </c>
      <c r="B21" s="167" t="s">
        <v>207</v>
      </c>
      <c r="C21" s="110">
        <f t="shared" si="1"/>
        <v>12000</v>
      </c>
      <c r="D21" s="111">
        <v>12000</v>
      </c>
      <c r="E21" s="111">
        <v>0</v>
      </c>
      <c r="F21" s="111">
        <v>0</v>
      </c>
    </row>
    <row r="22" spans="1:6" ht="48" customHeight="1">
      <c r="A22" s="141">
        <v>22012600</v>
      </c>
      <c r="B22" s="167" t="s">
        <v>206</v>
      </c>
      <c r="C22" s="110">
        <f t="shared" si="1"/>
        <v>5000</v>
      </c>
      <c r="D22" s="111">
        <v>5000</v>
      </c>
      <c r="E22" s="111">
        <v>0</v>
      </c>
      <c r="F22" s="111">
        <v>0</v>
      </c>
    </row>
    <row r="23" spans="1:6" ht="18.75" hidden="1">
      <c r="A23" s="59">
        <v>24000000</v>
      </c>
      <c r="B23" s="144" t="s">
        <v>205</v>
      </c>
      <c r="C23" s="110">
        <f t="shared" si="1"/>
        <v>0</v>
      </c>
      <c r="D23" s="110">
        <f aca="true" t="shared" si="2" ref="D23:F24">D24</f>
        <v>0</v>
      </c>
      <c r="E23" s="110">
        <f t="shared" si="2"/>
        <v>0</v>
      </c>
      <c r="F23" s="110">
        <f t="shared" si="2"/>
        <v>0</v>
      </c>
    </row>
    <row r="24" spans="1:6" ht="18.75" hidden="1">
      <c r="A24" s="59">
        <v>24060000</v>
      </c>
      <c r="B24" s="144" t="s">
        <v>204</v>
      </c>
      <c r="C24" s="110">
        <f t="shared" si="1"/>
        <v>0</v>
      </c>
      <c r="D24" s="110">
        <f t="shared" si="2"/>
        <v>0</v>
      </c>
      <c r="E24" s="110">
        <f t="shared" si="2"/>
        <v>0</v>
      </c>
      <c r="F24" s="110">
        <f t="shared" si="2"/>
        <v>0</v>
      </c>
    </row>
    <row r="25" spans="1:6" ht="18.75" hidden="1">
      <c r="A25" s="141">
        <v>24060300</v>
      </c>
      <c r="B25" s="142" t="s">
        <v>204</v>
      </c>
      <c r="C25" s="110">
        <f t="shared" si="1"/>
        <v>0</v>
      </c>
      <c r="D25" s="111">
        <v>0</v>
      </c>
      <c r="E25" s="111">
        <v>0</v>
      </c>
      <c r="F25" s="111">
        <v>0</v>
      </c>
    </row>
    <row r="26" spans="1:6" ht="17.25" customHeight="1">
      <c r="A26" s="59">
        <v>25000000</v>
      </c>
      <c r="B26" s="144" t="s">
        <v>94</v>
      </c>
      <c r="C26" s="110">
        <f t="shared" si="1"/>
        <v>449040</v>
      </c>
      <c r="D26" s="110">
        <f>D27+D30</f>
        <v>0</v>
      </c>
      <c r="E26" s="110">
        <f>E27+E30</f>
        <v>449040</v>
      </c>
      <c r="F26" s="110">
        <f>F27+F30</f>
        <v>0</v>
      </c>
    </row>
    <row r="27" spans="1:6" ht="45.75" customHeight="1">
      <c r="A27" s="59">
        <v>25010000</v>
      </c>
      <c r="B27" s="144" t="s">
        <v>95</v>
      </c>
      <c r="C27" s="110">
        <f t="shared" si="1"/>
        <v>449040</v>
      </c>
      <c r="D27" s="110">
        <f>D28+D29</f>
        <v>0</v>
      </c>
      <c r="E27" s="110">
        <f>E28+E29</f>
        <v>449040</v>
      </c>
      <c r="F27" s="110">
        <f>F28+F29</f>
        <v>0</v>
      </c>
    </row>
    <row r="28" spans="1:6" ht="32.25" customHeight="1">
      <c r="A28" s="141">
        <v>25010100</v>
      </c>
      <c r="B28" s="142" t="s">
        <v>96</v>
      </c>
      <c r="C28" s="110">
        <f t="shared" si="1"/>
        <v>449040</v>
      </c>
      <c r="D28" s="111">
        <v>0</v>
      </c>
      <c r="E28" s="111">
        <v>449040</v>
      </c>
      <c r="F28" s="111">
        <v>0</v>
      </c>
    </row>
    <row r="29" spans="1:6" ht="18" customHeight="1" hidden="1">
      <c r="A29" s="141">
        <v>25010300</v>
      </c>
      <c r="B29" s="142" t="s">
        <v>97</v>
      </c>
      <c r="C29" s="110">
        <f t="shared" si="1"/>
        <v>0</v>
      </c>
      <c r="D29" s="111">
        <v>0</v>
      </c>
      <c r="E29" s="111">
        <v>0</v>
      </c>
      <c r="F29" s="111">
        <v>0</v>
      </c>
    </row>
    <row r="30" spans="1:6" ht="31.5" hidden="1">
      <c r="A30" s="59">
        <v>25020000</v>
      </c>
      <c r="B30" s="144" t="s">
        <v>98</v>
      </c>
      <c r="C30" s="110">
        <f t="shared" si="1"/>
        <v>0</v>
      </c>
      <c r="D30" s="110">
        <f>D31+D32</f>
        <v>0</v>
      </c>
      <c r="E30" s="110">
        <f>E31+E32</f>
        <v>0</v>
      </c>
      <c r="F30" s="110">
        <f>F31+F32</f>
        <v>0</v>
      </c>
    </row>
    <row r="31" spans="1:6" ht="18.75" hidden="1">
      <c r="A31" s="141">
        <v>25020100</v>
      </c>
      <c r="B31" s="142" t="s">
        <v>99</v>
      </c>
      <c r="C31" s="110">
        <f t="shared" si="1"/>
        <v>0</v>
      </c>
      <c r="D31" s="111">
        <v>0</v>
      </c>
      <c r="E31" s="283"/>
      <c r="F31" s="111">
        <v>0</v>
      </c>
    </row>
    <row r="32" spans="1:6" ht="96" customHeight="1" hidden="1">
      <c r="A32" s="166">
        <v>25020200</v>
      </c>
      <c r="B32" s="142" t="s">
        <v>100</v>
      </c>
      <c r="C32" s="110">
        <f t="shared" si="1"/>
        <v>0</v>
      </c>
      <c r="D32" s="111">
        <v>0</v>
      </c>
      <c r="E32" s="283"/>
      <c r="F32" s="111">
        <v>0</v>
      </c>
    </row>
    <row r="33" spans="1:6" ht="18.75">
      <c r="A33" s="168"/>
      <c r="B33" s="63" t="s">
        <v>101</v>
      </c>
      <c r="C33" s="110">
        <f>D33+E33</f>
        <v>23825832</v>
      </c>
      <c r="D33" s="110">
        <f>D18+D12</f>
        <v>23376792</v>
      </c>
      <c r="E33" s="110">
        <f>E18+E12</f>
        <v>449040</v>
      </c>
      <c r="F33" s="110">
        <f>F18+F12</f>
        <v>0</v>
      </c>
    </row>
    <row r="34" spans="1:6" s="137" customFormat="1" ht="18.75">
      <c r="A34" s="143">
        <v>40000000</v>
      </c>
      <c r="B34" s="144" t="s">
        <v>102</v>
      </c>
      <c r="C34" s="110">
        <f aca="true" t="shared" si="3" ref="C34:C59">D34+E34</f>
        <v>130049532</v>
      </c>
      <c r="D34" s="110">
        <f>D35</f>
        <v>129606508</v>
      </c>
      <c r="E34" s="110">
        <f>E35</f>
        <v>443024</v>
      </c>
      <c r="F34" s="110">
        <f>F35</f>
        <v>443024</v>
      </c>
    </row>
    <row r="35" spans="1:6" s="137" customFormat="1" ht="18.75">
      <c r="A35" s="59">
        <v>41000000</v>
      </c>
      <c r="B35" s="144" t="s">
        <v>103</v>
      </c>
      <c r="C35" s="110">
        <f t="shared" si="3"/>
        <v>130049532</v>
      </c>
      <c r="D35" s="110">
        <f>D36+D41+D44+D38</f>
        <v>129606508</v>
      </c>
      <c r="E35" s="110">
        <f>E36+E41+E44</f>
        <v>443024</v>
      </c>
      <c r="F35" s="110">
        <f>F36+F41+F44</f>
        <v>443024</v>
      </c>
    </row>
    <row r="36" spans="1:6" ht="31.5">
      <c r="A36" s="59">
        <v>41020000</v>
      </c>
      <c r="B36" s="144" t="s">
        <v>283</v>
      </c>
      <c r="C36" s="110">
        <f t="shared" si="3"/>
        <v>22868300</v>
      </c>
      <c r="D36" s="110">
        <f>D37</f>
        <v>22868300</v>
      </c>
      <c r="E36" s="110">
        <f>SUM(E37:E43)</f>
        <v>0</v>
      </c>
      <c r="F36" s="110">
        <f>SUM(F37:F43)</f>
        <v>0</v>
      </c>
    </row>
    <row r="37" spans="1:6" ht="18.75">
      <c r="A37" s="141">
        <v>41020100</v>
      </c>
      <c r="B37" s="142" t="s">
        <v>104</v>
      </c>
      <c r="C37" s="110">
        <f t="shared" si="3"/>
        <v>22868300</v>
      </c>
      <c r="D37" s="111">
        <v>22868300</v>
      </c>
      <c r="E37" s="111">
        <v>0</v>
      </c>
      <c r="F37" s="111">
        <v>0</v>
      </c>
    </row>
    <row r="38" spans="1:6" ht="31.5">
      <c r="A38" s="59">
        <v>41030000</v>
      </c>
      <c r="B38" s="144" t="s">
        <v>294</v>
      </c>
      <c r="C38" s="110">
        <f t="shared" si="3"/>
        <v>39067600</v>
      </c>
      <c r="D38" s="110">
        <f>D39+D40</f>
        <v>39067600</v>
      </c>
      <c r="E38" s="110">
        <f>E39+E40</f>
        <v>0</v>
      </c>
      <c r="F38" s="110">
        <f>F39+F40</f>
        <v>0</v>
      </c>
    </row>
    <row r="39" spans="1:6" ht="31.5">
      <c r="A39" s="141">
        <v>41033900</v>
      </c>
      <c r="B39" s="142" t="s">
        <v>105</v>
      </c>
      <c r="C39" s="110">
        <f t="shared" si="3"/>
        <v>26438400</v>
      </c>
      <c r="D39" s="111">
        <v>26438400</v>
      </c>
      <c r="E39" s="111">
        <v>0</v>
      </c>
      <c r="F39" s="111">
        <v>0</v>
      </c>
    </row>
    <row r="40" spans="1:6" ht="31.5">
      <c r="A40" s="141">
        <v>41034200</v>
      </c>
      <c r="B40" s="142" t="s">
        <v>106</v>
      </c>
      <c r="C40" s="110">
        <f t="shared" si="3"/>
        <v>12629200</v>
      </c>
      <c r="D40" s="111">
        <f>11582200+1047000</f>
        <v>12629200</v>
      </c>
      <c r="E40" s="111">
        <v>0</v>
      </c>
      <c r="F40" s="111">
        <v>0</v>
      </c>
    </row>
    <row r="41" spans="1:6" ht="31.5">
      <c r="A41" s="59">
        <v>41040000</v>
      </c>
      <c r="B41" s="144" t="s">
        <v>284</v>
      </c>
      <c r="C41" s="110">
        <f>D41</f>
        <v>9796400</v>
      </c>
      <c r="D41" s="110">
        <f>D42</f>
        <v>9796400</v>
      </c>
      <c r="E41" s="110">
        <f>E42</f>
        <v>0</v>
      </c>
      <c r="F41" s="110">
        <f>F42</f>
        <v>0</v>
      </c>
    </row>
    <row r="42" spans="1:6" ht="84.75" customHeight="1">
      <c r="A42" s="141">
        <v>41040200</v>
      </c>
      <c r="B42" s="142" t="s">
        <v>285</v>
      </c>
      <c r="C42" s="110">
        <f>D42</f>
        <v>9796400</v>
      </c>
      <c r="D42" s="111">
        <v>9796400</v>
      </c>
      <c r="E42" s="111">
        <v>0</v>
      </c>
      <c r="F42" s="111">
        <v>0</v>
      </c>
    </row>
    <row r="43" spans="1:6" ht="23.25" customHeight="1" hidden="1">
      <c r="A43" s="162"/>
      <c r="B43" s="163"/>
      <c r="C43" s="161">
        <f>D43</f>
        <v>0</v>
      </c>
      <c r="D43" s="164"/>
      <c r="E43" s="164">
        <v>0</v>
      </c>
      <c r="F43" s="164">
        <v>0</v>
      </c>
    </row>
    <row r="44" spans="1:6" ht="31.5">
      <c r="A44" s="59">
        <v>41050000</v>
      </c>
      <c r="B44" s="144" t="s">
        <v>286</v>
      </c>
      <c r="C44" s="110">
        <f>D44+E44</f>
        <v>58317232</v>
      </c>
      <c r="D44" s="110">
        <f>D45+D46+D47+D51+D53+D55+D59+D48+D58+D54+D49+D50+D52</f>
        <v>57874208</v>
      </c>
      <c r="E44" s="110">
        <f>E55+E54</f>
        <v>443024</v>
      </c>
      <c r="F44" s="110">
        <f>F55+F54</f>
        <v>443024</v>
      </c>
    </row>
    <row r="45" spans="1:6" ht="157.5">
      <c r="A45" s="141">
        <v>41050100</v>
      </c>
      <c r="B45" s="142" t="s">
        <v>287</v>
      </c>
      <c r="C45" s="110">
        <f t="shared" si="3"/>
        <v>27841703</v>
      </c>
      <c r="D45" s="111">
        <v>27841703</v>
      </c>
      <c r="E45" s="111">
        <v>0</v>
      </c>
      <c r="F45" s="111">
        <v>0</v>
      </c>
    </row>
    <row r="46" spans="1:6" ht="94.5">
      <c r="A46" s="141">
        <v>41050200</v>
      </c>
      <c r="B46" s="142" t="s">
        <v>288</v>
      </c>
      <c r="C46" s="110">
        <f t="shared" si="3"/>
        <v>410547</v>
      </c>
      <c r="D46" s="111">
        <v>410547</v>
      </c>
      <c r="E46" s="111">
        <v>0</v>
      </c>
      <c r="F46" s="111">
        <v>0</v>
      </c>
    </row>
    <row r="47" spans="1:6" ht="261" customHeight="1">
      <c r="A47" s="141">
        <v>41050300</v>
      </c>
      <c r="B47" s="142" t="s">
        <v>289</v>
      </c>
      <c r="C47" s="110">
        <f t="shared" si="3"/>
        <v>21896039</v>
      </c>
      <c r="D47" s="111">
        <v>21896039</v>
      </c>
      <c r="E47" s="111">
        <v>0</v>
      </c>
      <c r="F47" s="111">
        <v>0</v>
      </c>
    </row>
    <row r="48" spans="1:6" ht="217.5" customHeight="1">
      <c r="A48" s="141">
        <v>41050700</v>
      </c>
      <c r="B48" s="142" t="s">
        <v>290</v>
      </c>
      <c r="C48" s="110">
        <f t="shared" si="3"/>
        <v>1090374</v>
      </c>
      <c r="D48" s="111">
        <v>1090374</v>
      </c>
      <c r="E48" s="111">
        <v>0</v>
      </c>
      <c r="F48" s="111">
        <v>0</v>
      </c>
    </row>
    <row r="49" spans="1:6" ht="47.25" customHeight="1">
      <c r="A49" s="141">
        <v>41051100</v>
      </c>
      <c r="B49" s="167" t="s">
        <v>452</v>
      </c>
      <c r="C49" s="110">
        <f t="shared" si="3"/>
        <v>1016846</v>
      </c>
      <c r="D49" s="111">
        <v>1016846</v>
      </c>
      <c r="E49" s="111">
        <v>0</v>
      </c>
      <c r="F49" s="111">
        <v>0</v>
      </c>
    </row>
    <row r="50" spans="1:6" ht="82.5" customHeight="1">
      <c r="A50" s="141">
        <v>41051400</v>
      </c>
      <c r="B50" s="167" t="s">
        <v>454</v>
      </c>
      <c r="C50" s="110">
        <f t="shared" si="3"/>
        <v>434209</v>
      </c>
      <c r="D50" s="111">
        <v>434209</v>
      </c>
      <c r="E50" s="111">
        <v>0</v>
      </c>
      <c r="F50" s="111">
        <v>0</v>
      </c>
    </row>
    <row r="51" spans="1:6" ht="48" customHeight="1">
      <c r="A51" s="141">
        <v>41051500</v>
      </c>
      <c r="B51" s="142" t="s">
        <v>291</v>
      </c>
      <c r="C51" s="110">
        <f t="shared" si="3"/>
        <v>178169</v>
      </c>
      <c r="D51" s="111">
        <v>178169</v>
      </c>
      <c r="E51" s="111">
        <v>0</v>
      </c>
      <c r="F51" s="111">
        <v>0</v>
      </c>
    </row>
    <row r="52" spans="1:6" ht="48" customHeight="1">
      <c r="A52" s="141">
        <v>41051600</v>
      </c>
      <c r="B52" s="142" t="s">
        <v>410</v>
      </c>
      <c r="C52" s="110">
        <f t="shared" si="3"/>
        <v>272210</v>
      </c>
      <c r="D52" s="111">
        <v>272210</v>
      </c>
      <c r="E52" s="111">
        <v>0</v>
      </c>
      <c r="F52" s="111">
        <v>0</v>
      </c>
    </row>
    <row r="53" spans="1:6" ht="81.75" customHeight="1">
      <c r="A53" s="141">
        <v>41052000</v>
      </c>
      <c r="B53" s="142" t="s">
        <v>292</v>
      </c>
      <c r="C53" s="110">
        <f t="shared" si="3"/>
        <v>301000</v>
      </c>
      <c r="D53" s="111">
        <v>301000</v>
      </c>
      <c r="E53" s="111">
        <v>0</v>
      </c>
      <c r="F53" s="111">
        <v>0</v>
      </c>
    </row>
    <row r="54" spans="1:6" ht="54" customHeight="1" hidden="1">
      <c r="A54" s="162"/>
      <c r="B54" s="163"/>
      <c r="C54" s="161">
        <f t="shared" si="3"/>
        <v>0</v>
      </c>
      <c r="D54" s="164"/>
      <c r="E54" s="164"/>
      <c r="F54" s="164"/>
    </row>
    <row r="55" spans="1:6" ht="18.75">
      <c r="A55" s="141">
        <v>41053900</v>
      </c>
      <c r="B55" s="142" t="s">
        <v>293</v>
      </c>
      <c r="C55" s="110">
        <f>D55+E55</f>
        <v>4876135</v>
      </c>
      <c r="D55" s="110">
        <f>D56+D57</f>
        <v>4433111</v>
      </c>
      <c r="E55" s="110">
        <f>E56+E57</f>
        <v>443024</v>
      </c>
      <c r="F55" s="110">
        <f>F56+F57</f>
        <v>443024</v>
      </c>
    </row>
    <row r="56" spans="1:6" ht="18.75">
      <c r="A56" s="166"/>
      <c r="B56" s="142" t="s">
        <v>179</v>
      </c>
      <c r="C56" s="110">
        <f t="shared" si="3"/>
        <v>76084</v>
      </c>
      <c r="D56" s="111">
        <f>12520+63564</f>
        <v>76084</v>
      </c>
      <c r="E56" s="111">
        <v>0</v>
      </c>
      <c r="F56" s="111">
        <v>0</v>
      </c>
    </row>
    <row r="57" spans="1:6" ht="31.5">
      <c r="A57" s="141"/>
      <c r="B57" s="142" t="s">
        <v>180</v>
      </c>
      <c r="C57" s="110">
        <f>D57+E57</f>
        <v>4800051</v>
      </c>
      <c r="D57" s="111">
        <f>450000+750000+490370+600655+956000+410500+98085+9000+32167+143806+29826+29470+5800+170880+32000+30000+30000+25000+16844+34624+12000</f>
        <v>4357027</v>
      </c>
      <c r="E57" s="111">
        <f>136000+100000+207024</f>
        <v>443024</v>
      </c>
      <c r="F57" s="111">
        <f>E57</f>
        <v>443024</v>
      </c>
    </row>
    <row r="58" spans="1:6" ht="18.75" hidden="1">
      <c r="A58" s="165"/>
      <c r="B58" s="163"/>
      <c r="C58" s="161">
        <f>D58+E58</f>
        <v>0</v>
      </c>
      <c r="D58" s="164"/>
      <c r="E58" s="164">
        <v>0</v>
      </c>
      <c r="F58" s="164">
        <v>0</v>
      </c>
    </row>
    <row r="59" spans="1:6" ht="18.75" hidden="1">
      <c r="A59" s="165"/>
      <c r="B59" s="163"/>
      <c r="C59" s="161">
        <f t="shared" si="3"/>
        <v>0</v>
      </c>
      <c r="D59" s="164"/>
      <c r="E59" s="164">
        <v>0</v>
      </c>
      <c r="F59" s="164">
        <v>0</v>
      </c>
    </row>
    <row r="60" spans="1:6" ht="18.75">
      <c r="A60" s="140"/>
      <c r="B60" s="63" t="s">
        <v>107</v>
      </c>
      <c r="C60" s="110">
        <f>D60+E60</f>
        <v>153875364</v>
      </c>
      <c r="D60" s="110">
        <f>D34+D33</f>
        <v>152983300</v>
      </c>
      <c r="E60" s="110">
        <f>E34+E33</f>
        <v>892064</v>
      </c>
      <c r="F60" s="110">
        <f>F34+F33</f>
        <v>443024</v>
      </c>
    </row>
    <row r="61" spans="1:6" ht="15.75">
      <c r="A61" s="62"/>
      <c r="B61" s="62"/>
      <c r="C61" s="47"/>
      <c r="D61" s="47"/>
      <c r="E61" s="47"/>
      <c r="F61" s="47"/>
    </row>
    <row r="62" spans="1:6" ht="15.75">
      <c r="A62" s="47"/>
      <c r="B62" s="47"/>
      <c r="C62" s="47"/>
      <c r="D62" s="47"/>
      <c r="E62" s="47"/>
      <c r="F62" s="47"/>
    </row>
    <row r="63" ht="15.75">
      <c r="A63" s="47"/>
    </row>
    <row r="64" spans="1:6" ht="15.75">
      <c r="A64" s="47"/>
      <c r="B64" s="47"/>
      <c r="C64" s="47"/>
      <c r="D64" s="47"/>
      <c r="E64" s="47"/>
      <c r="F64" s="47"/>
    </row>
    <row r="65" spans="1:4" ht="15.75">
      <c r="A65" s="47"/>
      <c r="D65" s="169"/>
    </row>
    <row r="66" spans="1:6" ht="15.75">
      <c r="A66" s="47"/>
      <c r="B66" s="47"/>
      <c r="C66" s="47"/>
      <c r="D66" s="47"/>
      <c r="E66" s="47"/>
      <c r="F66" s="47"/>
    </row>
    <row r="67" spans="1:6" ht="18.75">
      <c r="A67" s="47"/>
      <c r="B67" s="76" t="s">
        <v>158</v>
      </c>
      <c r="C67" s="77"/>
      <c r="D67" s="77"/>
      <c r="E67" s="77"/>
      <c r="F67" s="78" t="s">
        <v>159</v>
      </c>
    </row>
    <row r="68" spans="1:6" ht="15.75">
      <c r="A68" s="47"/>
      <c r="B68" s="47"/>
      <c r="C68" s="47"/>
      <c r="D68" s="47"/>
      <c r="E68" s="47"/>
      <c r="F68" s="47"/>
    </row>
    <row r="69" spans="1:6" ht="15.75">
      <c r="A69" s="47"/>
      <c r="B69" s="47"/>
      <c r="C69" s="47"/>
      <c r="D69" s="47"/>
      <c r="E69" s="47"/>
      <c r="F69" s="47"/>
    </row>
    <row r="70" spans="1:6" ht="15.75">
      <c r="A70" s="47"/>
      <c r="B70" s="47"/>
      <c r="C70" s="47"/>
      <c r="D70" s="47"/>
      <c r="E70" s="47"/>
      <c r="F70" s="47"/>
    </row>
    <row r="71" spans="1:6" ht="15.75">
      <c r="A71" s="47"/>
      <c r="B71" s="47"/>
      <c r="C71" s="47"/>
      <c r="D71" s="47"/>
      <c r="E71" s="47"/>
      <c r="F71" s="47"/>
    </row>
    <row r="72" spans="1:6" ht="15.75">
      <c r="A72" s="47"/>
      <c r="B72" s="47"/>
      <c r="C72" s="47"/>
      <c r="D72" s="47"/>
      <c r="E72" s="47"/>
      <c r="F72" s="47"/>
    </row>
    <row r="73" spans="1:6" ht="15.75">
      <c r="A73" s="47"/>
      <c r="B73" s="47"/>
      <c r="C73" s="47"/>
      <c r="D73" s="47"/>
      <c r="E73" s="47"/>
      <c r="F73" s="47"/>
    </row>
    <row r="74" spans="1:6" ht="15.75">
      <c r="A74" s="47"/>
      <c r="B74" s="47"/>
      <c r="C74" s="47"/>
      <c r="D74" s="47"/>
      <c r="E74" s="47"/>
      <c r="F74" s="47"/>
    </row>
    <row r="75" spans="1:6" ht="15.75">
      <c r="A75" s="47"/>
      <c r="B75" s="47"/>
      <c r="C75" s="47"/>
      <c r="D75" s="47"/>
      <c r="E75" s="47"/>
      <c r="F75" s="47"/>
    </row>
    <row r="76" spans="1:6" ht="15.75">
      <c r="A76" s="47"/>
      <c r="B76" s="47"/>
      <c r="C76" s="47"/>
      <c r="D76" s="47"/>
      <c r="E76" s="47"/>
      <c r="F76" s="47"/>
    </row>
    <row r="77" spans="1:6" ht="15.75">
      <c r="A77" s="47"/>
      <c r="B77" s="47"/>
      <c r="C77" s="47"/>
      <c r="D77" s="47"/>
      <c r="E77" s="47"/>
      <c r="F77" s="47"/>
    </row>
    <row r="78" spans="1:6" ht="15.75">
      <c r="A78" s="47"/>
      <c r="B78" s="47"/>
      <c r="C78" s="47"/>
      <c r="D78" s="47"/>
      <c r="E78" s="47"/>
      <c r="F78" s="47"/>
    </row>
    <row r="79" spans="1:6" ht="15.75">
      <c r="A79" s="47"/>
      <c r="B79" s="47"/>
      <c r="C79" s="47"/>
      <c r="D79" s="47"/>
      <c r="E79" s="47"/>
      <c r="F79" s="47"/>
    </row>
    <row r="80" spans="1:6" ht="15.75">
      <c r="A80" s="47"/>
      <c r="B80" s="47"/>
      <c r="C80" s="47"/>
      <c r="D80" s="47"/>
      <c r="E80" s="47"/>
      <c r="F80" s="47"/>
    </row>
    <row r="81" spans="1:6" ht="15.75">
      <c r="A81" s="47"/>
      <c r="B81" s="47"/>
      <c r="C81" s="47"/>
      <c r="D81" s="47"/>
      <c r="E81" s="47"/>
      <c r="F81" s="47"/>
    </row>
    <row r="82" spans="1:6" ht="15.75">
      <c r="A82" s="47"/>
      <c r="B82" s="47"/>
      <c r="C82" s="47"/>
      <c r="D82" s="47"/>
      <c r="E82" s="47"/>
      <c r="F82" s="47"/>
    </row>
  </sheetData>
  <sheetProtection formatCells="0"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1" r:id="rId1"/>
  <headerFooter alignWithMargins="0">
    <oddHeader>&amp;C&amp;P&amp;RПродовження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SheetLayoutView="100" workbookViewId="0" topLeftCell="A19">
      <selection activeCell="F23" sqref="F23"/>
    </sheetView>
  </sheetViews>
  <sheetFormatPr defaultColWidth="9.33203125" defaultRowHeight="12.75"/>
  <cols>
    <col min="1" max="1" width="10.16015625" style="0" bestFit="1" customWidth="1"/>
    <col min="2" max="2" width="38.83203125" style="0" customWidth="1"/>
    <col min="3" max="3" width="17.66015625" style="0" customWidth="1"/>
    <col min="4" max="4" width="17" style="0" customWidth="1"/>
    <col min="5" max="5" width="16.16015625" style="0" customWidth="1"/>
    <col min="6" max="6" width="15.66015625" style="0" customWidth="1"/>
  </cols>
  <sheetData>
    <row r="2" spans="4:5" ht="15.75">
      <c r="D2" s="60" t="s">
        <v>110</v>
      </c>
      <c r="E2" s="60"/>
    </row>
    <row r="3" spans="4:5" ht="15.75">
      <c r="D3" s="60" t="s">
        <v>108</v>
      </c>
      <c r="E3" s="60"/>
    </row>
    <row r="4" spans="4:5" ht="15.75">
      <c r="D4" s="60"/>
      <c r="E4" s="60"/>
    </row>
    <row r="5" spans="4:5" ht="15.75">
      <c r="D5" s="60" t="s">
        <v>109</v>
      </c>
      <c r="E5" s="60"/>
    </row>
    <row r="6" spans="4:5" ht="15.75">
      <c r="D6" s="60"/>
      <c r="E6" s="60"/>
    </row>
    <row r="7" spans="2:5" ht="18.75">
      <c r="B7" s="316" t="s">
        <v>296</v>
      </c>
      <c r="C7" s="317"/>
      <c r="D7" s="317"/>
      <c r="E7" s="317"/>
    </row>
    <row r="8" spans="4:5" ht="15.75">
      <c r="D8" s="60"/>
      <c r="E8" s="60"/>
    </row>
    <row r="10" spans="1:6" ht="15.75">
      <c r="A10" s="308" t="s">
        <v>38</v>
      </c>
      <c r="B10" s="308" t="s">
        <v>111</v>
      </c>
      <c r="C10" s="309" t="s">
        <v>52</v>
      </c>
      <c r="D10" s="308" t="s">
        <v>49</v>
      </c>
      <c r="E10" s="308" t="s">
        <v>50</v>
      </c>
      <c r="F10" s="308"/>
    </row>
    <row r="11" spans="1:6" ht="12.75">
      <c r="A11" s="308"/>
      <c r="B11" s="308"/>
      <c r="C11" s="309"/>
      <c r="D11" s="308"/>
      <c r="E11" s="308" t="s">
        <v>52</v>
      </c>
      <c r="F11" s="308" t="s">
        <v>69</v>
      </c>
    </row>
    <row r="12" spans="1:6" ht="19.5" customHeight="1">
      <c r="A12" s="308"/>
      <c r="B12" s="308"/>
      <c r="C12" s="309"/>
      <c r="D12" s="308"/>
      <c r="E12" s="308"/>
      <c r="F12" s="308"/>
    </row>
    <row r="13" spans="1:6" ht="15.75">
      <c r="A13" s="70">
        <v>1</v>
      </c>
      <c r="B13" s="70">
        <v>2</v>
      </c>
      <c r="C13" s="71">
        <v>3</v>
      </c>
      <c r="D13" s="70">
        <v>4</v>
      </c>
      <c r="E13" s="70">
        <v>5</v>
      </c>
      <c r="F13" s="70">
        <v>6</v>
      </c>
    </row>
    <row r="14" spans="1:6" ht="15.75">
      <c r="A14" s="310" t="s">
        <v>39</v>
      </c>
      <c r="B14" s="318"/>
      <c r="C14" s="68">
        <f aca="true" t="shared" si="0" ref="C14:C22">D14+E14</f>
        <v>15175387.200000001</v>
      </c>
      <c r="D14" s="69">
        <f>(D15+D19)/2</f>
        <v>1022145.8300000001</v>
      </c>
      <c r="E14" s="69">
        <f>(E15+E19)/2</f>
        <v>14153241.370000001</v>
      </c>
      <c r="F14" s="69">
        <f>(F15+F19)/2</f>
        <v>14153241.370000001</v>
      </c>
    </row>
    <row r="15" spans="1:6" ht="15.75">
      <c r="A15" s="64">
        <v>200000</v>
      </c>
      <c r="B15" s="65" t="s">
        <v>112</v>
      </c>
      <c r="C15" s="68">
        <f t="shared" si="0"/>
        <v>15175387.200000001</v>
      </c>
      <c r="D15" s="145">
        <f>D16</f>
        <v>1022145.8300000001</v>
      </c>
      <c r="E15" s="145">
        <f>E16</f>
        <v>14153241.370000001</v>
      </c>
      <c r="F15" s="145">
        <f>F16</f>
        <v>14153241.370000001</v>
      </c>
    </row>
    <row r="16" spans="1:6" ht="47.25">
      <c r="A16" s="64">
        <v>208000</v>
      </c>
      <c r="B16" s="65" t="s">
        <v>113</v>
      </c>
      <c r="C16" s="145">
        <f t="shared" si="0"/>
        <v>15175387.200000001</v>
      </c>
      <c r="D16" s="145">
        <f>D17+D18</f>
        <v>1022145.8300000001</v>
      </c>
      <c r="E16" s="145">
        <f>E17+E18</f>
        <v>14153241.370000001</v>
      </c>
      <c r="F16" s="145">
        <f>F17+F18</f>
        <v>14153241.370000001</v>
      </c>
    </row>
    <row r="17" spans="1:6" ht="15.75">
      <c r="A17" s="66">
        <v>208100</v>
      </c>
      <c r="B17" s="67" t="s">
        <v>42</v>
      </c>
      <c r="C17" s="146">
        <f t="shared" si="0"/>
        <v>15175387.2</v>
      </c>
      <c r="D17" s="146">
        <f>4983947+2901839+2803525.86+776500+80371+218563.97+181610+248413+98860+150000+962000</f>
        <v>13405629.83</v>
      </c>
      <c r="E17" s="146">
        <f>1048500+721257.37</f>
        <v>1769757.37</v>
      </c>
      <c r="F17" s="146">
        <f>1048500+721257.37</f>
        <v>1769757.37</v>
      </c>
    </row>
    <row r="18" spans="1:6" ht="63">
      <c r="A18" s="66">
        <v>208400</v>
      </c>
      <c r="B18" s="67" t="s">
        <v>114</v>
      </c>
      <c r="C18" s="146">
        <f t="shared" si="0"/>
        <v>0</v>
      </c>
      <c r="D18" s="146">
        <f>-9202537+486630-1678967-91635-776500-100000+2481378-62310-313027-98860-186512-10000-1016846+50399-127000-500209+82295-551494-764289-4000</f>
        <v>-12383484</v>
      </c>
      <c r="E18" s="146">
        <f>9202537-486630+1678967+91635+776500+100000-2481378+62310+313027+186512+98860+10000+1016846-50399+127000+500209-82295+551494+764289+4000</f>
        <v>12383484</v>
      </c>
      <c r="F18" s="146">
        <f>9202537-486630+1678967+91635+776500+100000-2481378+62310+313027+186512+98860+10000+1016846-50399+127000+500209-82295+551494+764289+4000</f>
        <v>12383484</v>
      </c>
    </row>
    <row r="19" spans="1:6" ht="31.5">
      <c r="A19" s="64">
        <v>600000</v>
      </c>
      <c r="B19" s="65" t="s">
        <v>40</v>
      </c>
      <c r="C19" s="145">
        <f t="shared" si="0"/>
        <v>15175387.200000001</v>
      </c>
      <c r="D19" s="145">
        <f>D20</f>
        <v>1022145.8300000001</v>
      </c>
      <c r="E19" s="145">
        <f>E20</f>
        <v>14153241.370000001</v>
      </c>
      <c r="F19" s="145">
        <f>F20</f>
        <v>14153241.370000001</v>
      </c>
    </row>
    <row r="20" spans="1:6" ht="31.5">
      <c r="A20" s="64">
        <v>602000</v>
      </c>
      <c r="B20" s="65" t="s">
        <v>41</v>
      </c>
      <c r="C20" s="145">
        <f t="shared" si="0"/>
        <v>15175387.200000001</v>
      </c>
      <c r="D20" s="145">
        <f>D21+D22</f>
        <v>1022145.8300000001</v>
      </c>
      <c r="E20" s="145">
        <f>E21+E22</f>
        <v>14153241.370000001</v>
      </c>
      <c r="F20" s="145">
        <f>F21+F22</f>
        <v>14153241.370000001</v>
      </c>
    </row>
    <row r="21" spans="1:6" ht="15.75">
      <c r="A21" s="66">
        <v>602100</v>
      </c>
      <c r="B21" s="67" t="s">
        <v>42</v>
      </c>
      <c r="C21" s="146">
        <f t="shared" si="0"/>
        <v>15175387.2</v>
      </c>
      <c r="D21" s="146">
        <f>4983947+2901839+2803525.86+776500+80371+218563.97+181610+248413+98860+150000+962000</f>
        <v>13405629.83</v>
      </c>
      <c r="E21" s="146">
        <f>1048500+721257.37</f>
        <v>1769757.37</v>
      </c>
      <c r="F21" s="146">
        <f>1048500+721257.37</f>
        <v>1769757.37</v>
      </c>
    </row>
    <row r="22" spans="1:6" ht="63">
      <c r="A22" s="66">
        <v>602400</v>
      </c>
      <c r="B22" s="67" t="s">
        <v>114</v>
      </c>
      <c r="C22" s="146">
        <f t="shared" si="0"/>
        <v>0</v>
      </c>
      <c r="D22" s="146">
        <f>-9202537+486630-1678967-91635-776500-100000+2481378-62310-313027-98860-186512-10000-1016846+50399-127000-500209+82295-551494-764289-4000</f>
        <v>-12383484</v>
      </c>
      <c r="E22" s="146">
        <f>9202537-486630+1678967+91635+776500+100000-2481378+62310+313027+186512+98860+10000+1016846-50399+127000+500209-82295+551494+764289+4000</f>
        <v>12383484</v>
      </c>
      <c r="F22" s="146">
        <f>9202537-486630+1678967+91635+776500+100000-2481378+62310+313027+186512+98860+10000+1016846-50399+127000+500209-82295+551494+764289+4000</f>
        <v>12383484</v>
      </c>
    </row>
    <row r="29" spans="1:5" ht="18.75">
      <c r="A29" s="76" t="s">
        <v>158</v>
      </c>
      <c r="B29" s="77"/>
      <c r="C29" s="77"/>
      <c r="D29" s="77"/>
      <c r="E29" s="78" t="s">
        <v>159</v>
      </c>
    </row>
    <row r="32" spans="3:6" ht="12.75">
      <c r="C32" s="169">
        <f>'дод.1'!C60+'дод.2'!C14</f>
        <v>169050751.2</v>
      </c>
      <c r="D32" s="169">
        <f>'дод.1'!D60+'дод.2'!D14</f>
        <v>154005445.83</v>
      </c>
      <c r="E32" s="169">
        <f>'дод.1'!E60+'дод.2'!E14</f>
        <v>15045305.370000001</v>
      </c>
      <c r="F32" s="169">
        <f>'дод.1'!F60+'дод.2'!F14</f>
        <v>14596265.370000001</v>
      </c>
    </row>
    <row r="33" spans="3:6" ht="12.75">
      <c r="C33" s="169">
        <f>'дод.3'!R89</f>
        <v>169050751.2</v>
      </c>
      <c r="D33" s="169">
        <f>'дод.3'!F89</f>
        <v>154005445.82999998</v>
      </c>
      <c r="E33" s="169">
        <f>'дод.3'!K89</f>
        <v>15045305.370000001</v>
      </c>
      <c r="F33" s="169">
        <f>'дод.3'!P89</f>
        <v>14596265.370000001</v>
      </c>
    </row>
    <row r="34" spans="3:6" ht="12.75">
      <c r="C34" s="169">
        <f>C32-C33</f>
        <v>0</v>
      </c>
      <c r="D34" s="169">
        <f>D32-D33</f>
        <v>0</v>
      </c>
      <c r="E34" s="169">
        <f>E32-E33</f>
        <v>0</v>
      </c>
      <c r="F34" s="169">
        <f>F32-F33</f>
        <v>0</v>
      </c>
    </row>
    <row r="36" ht="12.75">
      <c r="F36" s="169">
        <f>'дод.1'!F60+'дод.2'!F14</f>
        <v>14596265.370000001</v>
      </c>
    </row>
    <row r="37" spans="5:6" ht="12.75">
      <c r="E37" s="271">
        <f>E18</f>
        <v>12383484</v>
      </c>
      <c r="F37" s="272">
        <f>'дод.5'!J56</f>
        <v>14596265.370000001</v>
      </c>
    </row>
    <row r="38" spans="5:6" ht="12.75">
      <c r="E38" s="169">
        <f>'дод.3'!Q89</f>
        <v>12383484</v>
      </c>
      <c r="F38" s="169">
        <f>F36-F37</f>
        <v>0</v>
      </c>
    </row>
    <row r="39" ht="12.75">
      <c r="E39" s="271">
        <f>E37-E38</f>
        <v>0</v>
      </c>
    </row>
  </sheetData>
  <mergeCells count="9">
    <mergeCell ref="A14:B14"/>
    <mergeCell ref="E10:F10"/>
    <mergeCell ref="E11:E12"/>
    <mergeCell ref="F11:F12"/>
    <mergeCell ref="B7:E7"/>
    <mergeCell ref="A10:A12"/>
    <mergeCell ref="B10:B12"/>
    <mergeCell ref="C10:C12"/>
    <mergeCell ref="D10:D1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showZeros="0" zoomScale="55" zoomScaleNormal="55" zoomScaleSheetLayoutView="55" zoomScalePageLayoutView="0" workbookViewId="0" topLeftCell="A1">
      <pane xSplit="5" ySplit="11" topLeftCell="F75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H81" sqref="H81"/>
    </sheetView>
  </sheetViews>
  <sheetFormatPr defaultColWidth="9.16015625" defaultRowHeight="12.75"/>
  <cols>
    <col min="1" max="1" width="9.16015625" style="4" customWidth="1"/>
    <col min="2" max="2" width="18" style="39" customWidth="1"/>
    <col min="3" max="4" width="11.66015625" style="39" customWidth="1"/>
    <col min="5" max="5" width="42" style="5" customWidth="1"/>
    <col min="6" max="6" width="19.33203125" style="5" customWidth="1"/>
    <col min="7" max="7" width="19.16015625" style="5" customWidth="1"/>
    <col min="8" max="8" width="18.83203125" style="5" customWidth="1"/>
    <col min="9" max="9" width="16.33203125" style="5" customWidth="1"/>
    <col min="10" max="10" width="16" style="5" customWidth="1"/>
    <col min="11" max="11" width="19.83203125" style="5" customWidth="1"/>
    <col min="12" max="12" width="15" style="5" customWidth="1"/>
    <col min="13" max="13" width="15.16015625" style="5" customWidth="1"/>
    <col min="14" max="14" width="14.5" style="5" customWidth="1"/>
    <col min="15" max="15" width="19.16015625" style="5" customWidth="1"/>
    <col min="16" max="17" width="18.5" style="5" customWidth="1"/>
    <col min="18" max="18" width="20.83203125" style="5" customWidth="1"/>
    <col min="19" max="16384" width="9.16015625" style="4" customWidth="1"/>
  </cols>
  <sheetData>
    <row r="1" spans="2:18" s="31" customFormat="1" ht="18.7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60" t="s">
        <v>115</v>
      </c>
      <c r="N1" s="56"/>
      <c r="O1" s="56"/>
      <c r="P1" s="56"/>
      <c r="Q1" s="56"/>
      <c r="R1" s="56"/>
    </row>
    <row r="2" spans="5:19" ht="18" customHeight="1">
      <c r="E2" s="2"/>
      <c r="F2" s="1"/>
      <c r="G2" s="1"/>
      <c r="H2" s="1"/>
      <c r="I2" s="1"/>
      <c r="J2" s="1"/>
      <c r="K2" s="1"/>
      <c r="L2" s="1"/>
      <c r="M2" s="60" t="s">
        <v>108</v>
      </c>
      <c r="N2" s="55"/>
      <c r="O2" s="55"/>
      <c r="P2" s="55"/>
      <c r="Q2" s="55"/>
      <c r="R2" s="55"/>
      <c r="S2" s="55"/>
    </row>
    <row r="3" spans="5:19" ht="18" customHeight="1">
      <c r="E3" s="2"/>
      <c r="F3" s="1"/>
      <c r="G3" s="1"/>
      <c r="H3" s="1"/>
      <c r="I3" s="1"/>
      <c r="J3" s="1"/>
      <c r="K3" s="1"/>
      <c r="L3" s="1"/>
      <c r="M3" s="60"/>
      <c r="N3" s="55"/>
      <c r="O3" s="55"/>
      <c r="P3" s="55"/>
      <c r="Q3" s="55"/>
      <c r="R3" s="55"/>
      <c r="S3" s="55"/>
    </row>
    <row r="4" spans="5:19" ht="18" customHeight="1">
      <c r="E4" s="2"/>
      <c r="F4" s="1"/>
      <c r="G4" s="1"/>
      <c r="H4" s="1"/>
      <c r="I4" s="1"/>
      <c r="J4" s="1"/>
      <c r="K4" s="1"/>
      <c r="L4" s="1"/>
      <c r="M4" s="60" t="s">
        <v>109</v>
      </c>
      <c r="N4" s="60"/>
      <c r="O4" s="55"/>
      <c r="P4" s="55"/>
      <c r="Q4" s="55"/>
      <c r="R4" s="55"/>
      <c r="S4" s="55"/>
    </row>
    <row r="5" spans="5:19" ht="18" customHeight="1">
      <c r="E5" s="2"/>
      <c r="F5" s="1"/>
      <c r="G5" s="1"/>
      <c r="H5" s="1"/>
      <c r="I5" s="1"/>
      <c r="J5" s="1"/>
      <c r="K5" s="1"/>
      <c r="L5" s="1"/>
      <c r="M5" s="60"/>
      <c r="N5" s="55"/>
      <c r="O5" s="55"/>
      <c r="P5" s="55"/>
      <c r="Q5" s="55"/>
      <c r="R5" s="55"/>
      <c r="S5" s="55"/>
    </row>
    <row r="6" spans="2:18" ht="45" customHeight="1">
      <c r="B6" s="319" t="s">
        <v>297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2:18" ht="18.75">
      <c r="B7" s="40"/>
      <c r="C7" s="41"/>
      <c r="D7" s="41"/>
      <c r="E7" s="6"/>
      <c r="F7" s="6"/>
      <c r="G7" s="6"/>
      <c r="H7" s="9"/>
      <c r="I7" s="6"/>
      <c r="J7" s="7"/>
      <c r="K7" s="8"/>
      <c r="L7" s="8"/>
      <c r="M7" s="8"/>
      <c r="N7" s="8"/>
      <c r="O7" s="8"/>
      <c r="P7" s="8"/>
      <c r="Q7" s="8"/>
      <c r="R7" s="35" t="s">
        <v>116</v>
      </c>
    </row>
    <row r="8" spans="2:18" s="58" customFormat="1" ht="18.75" customHeight="1">
      <c r="B8" s="321" t="s">
        <v>175</v>
      </c>
      <c r="C8" s="321" t="s">
        <v>391</v>
      </c>
      <c r="D8" s="321" t="s">
        <v>174</v>
      </c>
      <c r="E8" s="321" t="s">
        <v>351</v>
      </c>
      <c r="F8" s="321" t="s">
        <v>49</v>
      </c>
      <c r="G8" s="321"/>
      <c r="H8" s="321"/>
      <c r="I8" s="321"/>
      <c r="J8" s="321"/>
      <c r="K8" s="323" t="s">
        <v>50</v>
      </c>
      <c r="L8" s="324"/>
      <c r="M8" s="324"/>
      <c r="N8" s="324"/>
      <c r="O8" s="324"/>
      <c r="P8" s="324"/>
      <c r="Q8" s="325"/>
      <c r="R8" s="322" t="s">
        <v>352</v>
      </c>
    </row>
    <row r="9" spans="2:18" s="58" customFormat="1" ht="16.5" customHeight="1">
      <c r="B9" s="321"/>
      <c r="C9" s="321"/>
      <c r="D9" s="321"/>
      <c r="E9" s="321"/>
      <c r="F9" s="322" t="s">
        <v>52</v>
      </c>
      <c r="G9" s="321" t="s">
        <v>53</v>
      </c>
      <c r="H9" s="321" t="s">
        <v>54</v>
      </c>
      <c r="I9" s="321"/>
      <c r="J9" s="321" t="s">
        <v>55</v>
      </c>
      <c r="K9" s="322" t="s">
        <v>52</v>
      </c>
      <c r="L9" s="321" t="s">
        <v>53</v>
      </c>
      <c r="M9" s="321" t="s">
        <v>54</v>
      </c>
      <c r="N9" s="321"/>
      <c r="O9" s="321" t="s">
        <v>55</v>
      </c>
      <c r="P9" s="323" t="s">
        <v>54</v>
      </c>
      <c r="Q9" s="326"/>
      <c r="R9" s="322"/>
    </row>
    <row r="10" spans="2:18" s="58" customFormat="1" ht="20.25" customHeight="1">
      <c r="B10" s="321"/>
      <c r="C10" s="321"/>
      <c r="D10" s="321"/>
      <c r="E10" s="321"/>
      <c r="F10" s="322"/>
      <c r="G10" s="321"/>
      <c r="H10" s="321" t="s">
        <v>56</v>
      </c>
      <c r="I10" s="321" t="s">
        <v>57</v>
      </c>
      <c r="J10" s="321"/>
      <c r="K10" s="322"/>
      <c r="L10" s="321"/>
      <c r="M10" s="321" t="s">
        <v>56</v>
      </c>
      <c r="N10" s="321" t="s">
        <v>57</v>
      </c>
      <c r="O10" s="321"/>
      <c r="P10" s="321" t="s">
        <v>71</v>
      </c>
      <c r="Q10" s="327" t="s">
        <v>395</v>
      </c>
      <c r="R10" s="322"/>
    </row>
    <row r="11" spans="2:18" s="58" customFormat="1" ht="41.25" customHeight="1">
      <c r="B11" s="321"/>
      <c r="C11" s="321"/>
      <c r="D11" s="321"/>
      <c r="E11" s="321"/>
      <c r="F11" s="322"/>
      <c r="G11" s="321"/>
      <c r="H11" s="321"/>
      <c r="I11" s="321"/>
      <c r="J11" s="321"/>
      <c r="K11" s="322"/>
      <c r="L11" s="321"/>
      <c r="M11" s="321"/>
      <c r="N11" s="321"/>
      <c r="O11" s="321"/>
      <c r="P11" s="321"/>
      <c r="Q11" s="328"/>
      <c r="R11" s="322"/>
    </row>
    <row r="12" spans="2:18" s="58" customFormat="1" ht="15.75">
      <c r="B12" s="228">
        <v>1</v>
      </c>
      <c r="C12" s="228">
        <v>2</v>
      </c>
      <c r="D12" s="228">
        <v>3</v>
      </c>
      <c r="E12" s="228">
        <v>4</v>
      </c>
      <c r="F12" s="239">
        <v>5</v>
      </c>
      <c r="G12" s="228">
        <v>6</v>
      </c>
      <c r="H12" s="228">
        <v>7</v>
      </c>
      <c r="I12" s="228">
        <v>8</v>
      </c>
      <c r="J12" s="228">
        <v>9</v>
      </c>
      <c r="K12" s="239">
        <v>10</v>
      </c>
      <c r="L12" s="228">
        <v>11</v>
      </c>
      <c r="M12" s="228">
        <v>12</v>
      </c>
      <c r="N12" s="228">
        <v>13</v>
      </c>
      <c r="O12" s="228">
        <v>14</v>
      </c>
      <c r="P12" s="228">
        <v>15</v>
      </c>
      <c r="Q12" s="228"/>
      <c r="R12" s="239">
        <v>16</v>
      </c>
    </row>
    <row r="13" spans="2:18" s="58" customFormat="1" ht="18.75" customHeight="1">
      <c r="B13" s="234" t="s">
        <v>70</v>
      </c>
      <c r="C13" s="235"/>
      <c r="D13" s="236"/>
      <c r="E13" s="227" t="s">
        <v>392</v>
      </c>
      <c r="F13" s="240">
        <f>G13+J13</f>
        <v>2829054</v>
      </c>
      <c r="G13" s="232">
        <f>G14</f>
        <v>2829054</v>
      </c>
      <c r="H13" s="232">
        <f aca="true" t="shared" si="0" ref="H13:Q14">H14</f>
        <v>2351125</v>
      </c>
      <c r="I13" s="232">
        <f t="shared" si="0"/>
        <v>101945</v>
      </c>
      <c r="J13" s="232">
        <f t="shared" si="0"/>
        <v>0</v>
      </c>
      <c r="K13" s="232">
        <f>K14</f>
        <v>46000</v>
      </c>
      <c r="L13" s="232">
        <f t="shared" si="0"/>
        <v>0</v>
      </c>
      <c r="M13" s="232">
        <f t="shared" si="0"/>
        <v>0</v>
      </c>
      <c r="N13" s="232">
        <f t="shared" si="0"/>
        <v>0</v>
      </c>
      <c r="O13" s="232">
        <f t="shared" si="0"/>
        <v>46000</v>
      </c>
      <c r="P13" s="232">
        <f t="shared" si="0"/>
        <v>46000</v>
      </c>
      <c r="Q13" s="232">
        <f t="shared" si="0"/>
        <v>46000</v>
      </c>
      <c r="R13" s="240">
        <f>F13+K13</f>
        <v>2875054</v>
      </c>
    </row>
    <row r="14" spans="2:18" s="58" customFormat="1" ht="17.25" customHeight="1">
      <c r="B14" s="234" t="s">
        <v>353</v>
      </c>
      <c r="C14" s="235"/>
      <c r="D14" s="236"/>
      <c r="E14" s="227" t="s">
        <v>392</v>
      </c>
      <c r="F14" s="240">
        <f aca="true" t="shared" si="1" ref="F14:F83">G14+J14</f>
        <v>2829054</v>
      </c>
      <c r="G14" s="232">
        <f>G15+G16</f>
        <v>2829054</v>
      </c>
      <c r="H14" s="232">
        <f t="shared" si="0"/>
        <v>2351125</v>
      </c>
      <c r="I14" s="232">
        <f t="shared" si="0"/>
        <v>101945</v>
      </c>
      <c r="J14" s="232">
        <f t="shared" si="0"/>
        <v>0</v>
      </c>
      <c r="K14" s="232">
        <f>K15</f>
        <v>46000</v>
      </c>
      <c r="L14" s="232">
        <f t="shared" si="0"/>
        <v>0</v>
      </c>
      <c r="M14" s="232">
        <f t="shared" si="0"/>
        <v>0</v>
      </c>
      <c r="N14" s="232">
        <f t="shared" si="0"/>
        <v>0</v>
      </c>
      <c r="O14" s="232">
        <f t="shared" si="0"/>
        <v>46000</v>
      </c>
      <c r="P14" s="232">
        <f t="shared" si="0"/>
        <v>46000</v>
      </c>
      <c r="Q14" s="232">
        <f t="shared" si="0"/>
        <v>46000</v>
      </c>
      <c r="R14" s="240">
        <f>F14+K14</f>
        <v>2875054</v>
      </c>
    </row>
    <row r="15" spans="1:18" s="58" customFormat="1" ht="111" customHeight="1">
      <c r="A15" s="276" t="s">
        <v>422</v>
      </c>
      <c r="B15" s="237" t="s">
        <v>217</v>
      </c>
      <c r="C15" s="237" t="s">
        <v>218</v>
      </c>
      <c r="D15" s="238" t="s">
        <v>58</v>
      </c>
      <c r="E15" s="231" t="s">
        <v>201</v>
      </c>
      <c r="F15" s="240">
        <f>G15+J15</f>
        <v>2829054</v>
      </c>
      <c r="G15" s="241">
        <f>2446492+9000+152+297877+65533+10000</f>
        <v>2829054</v>
      </c>
      <c r="H15" s="241">
        <f>1987715+297877+65533</f>
        <v>2351125</v>
      </c>
      <c r="I15" s="241">
        <f>92793+9000+152</f>
        <v>101945</v>
      </c>
      <c r="J15" s="232">
        <v>0</v>
      </c>
      <c r="K15" s="240">
        <f>L15+O15</f>
        <v>46000</v>
      </c>
      <c r="L15" s="232">
        <v>0</v>
      </c>
      <c r="M15" s="232">
        <v>0</v>
      </c>
      <c r="N15" s="232">
        <v>0</v>
      </c>
      <c r="O15" s="233">
        <v>46000</v>
      </c>
      <c r="P15" s="233">
        <v>46000</v>
      </c>
      <c r="Q15" s="233">
        <v>46000</v>
      </c>
      <c r="R15" s="240">
        <f aca="true" t="shared" si="2" ref="R15:R84">F15+K15</f>
        <v>2875054</v>
      </c>
    </row>
    <row r="16" spans="1:18" s="58" customFormat="1" ht="37.5" customHeight="1" hidden="1">
      <c r="A16" s="276"/>
      <c r="B16" s="284" t="s">
        <v>425</v>
      </c>
      <c r="C16" s="285">
        <v>7693</v>
      </c>
      <c r="D16" s="286" t="s">
        <v>427</v>
      </c>
      <c r="E16" s="287" t="s">
        <v>426</v>
      </c>
      <c r="F16" s="240">
        <f>G16+J16</f>
        <v>0</v>
      </c>
      <c r="G16" s="241"/>
      <c r="H16" s="241"/>
      <c r="I16" s="241"/>
      <c r="J16" s="232"/>
      <c r="K16" s="240"/>
      <c r="L16" s="232"/>
      <c r="M16" s="232"/>
      <c r="N16" s="232"/>
      <c r="O16" s="232"/>
      <c r="P16" s="232"/>
      <c r="Q16" s="232"/>
      <c r="R16" s="240">
        <f t="shared" si="2"/>
        <v>0</v>
      </c>
    </row>
    <row r="17" spans="1:18" s="58" customFormat="1" ht="31.5">
      <c r="A17" s="276"/>
      <c r="B17" s="234" t="s">
        <v>216</v>
      </c>
      <c r="C17" s="235"/>
      <c r="D17" s="236"/>
      <c r="E17" s="227" t="s">
        <v>148</v>
      </c>
      <c r="F17" s="240">
        <f>G17+J17</f>
        <v>43835106.83</v>
      </c>
      <c r="G17" s="232">
        <f>G18</f>
        <v>41976542.86</v>
      </c>
      <c r="H17" s="232">
        <f aca="true" t="shared" si="3" ref="H17:Q17">H18</f>
        <v>6961170</v>
      </c>
      <c r="I17" s="232">
        <f t="shared" si="3"/>
        <v>708629</v>
      </c>
      <c r="J17" s="232">
        <f t="shared" si="3"/>
        <v>1858563.97</v>
      </c>
      <c r="K17" s="232">
        <f>K18</f>
        <v>7131236</v>
      </c>
      <c r="L17" s="232">
        <f t="shared" si="3"/>
        <v>241320</v>
      </c>
      <c r="M17" s="232">
        <f t="shared" si="3"/>
        <v>61020</v>
      </c>
      <c r="N17" s="232">
        <f t="shared" si="3"/>
        <v>0</v>
      </c>
      <c r="O17" s="232">
        <f t="shared" si="3"/>
        <v>6889916</v>
      </c>
      <c r="P17" s="232">
        <f t="shared" si="3"/>
        <v>6889916</v>
      </c>
      <c r="Q17" s="232">
        <f t="shared" si="3"/>
        <v>6552892</v>
      </c>
      <c r="R17" s="232">
        <f>R18</f>
        <v>50966342.83</v>
      </c>
    </row>
    <row r="18" spans="1:18" s="58" customFormat="1" ht="31.5">
      <c r="A18" s="276"/>
      <c r="B18" s="234" t="s">
        <v>354</v>
      </c>
      <c r="C18" s="235"/>
      <c r="D18" s="236"/>
      <c r="E18" s="227" t="s">
        <v>148</v>
      </c>
      <c r="F18" s="240">
        <f>G18+J18</f>
        <v>43835106.83</v>
      </c>
      <c r="G18" s="232">
        <f>SUM(G19:G42)</f>
        <v>41976542.86</v>
      </c>
      <c r="H18" s="232">
        <f aca="true" t="shared" si="4" ref="H18:Q18">SUM(H19:H41)</f>
        <v>6961170</v>
      </c>
      <c r="I18" s="232">
        <f t="shared" si="4"/>
        <v>708629</v>
      </c>
      <c r="J18" s="232">
        <f t="shared" si="4"/>
        <v>1858563.97</v>
      </c>
      <c r="K18" s="232">
        <f>SUM(K19:K41)</f>
        <v>7131236</v>
      </c>
      <c r="L18" s="232">
        <f t="shared" si="4"/>
        <v>241320</v>
      </c>
      <c r="M18" s="232">
        <f t="shared" si="4"/>
        <v>61020</v>
      </c>
      <c r="N18" s="232">
        <f t="shared" si="4"/>
        <v>0</v>
      </c>
      <c r="O18" s="232">
        <f t="shared" si="4"/>
        <v>6889916</v>
      </c>
      <c r="P18" s="232">
        <f t="shared" si="4"/>
        <v>6889916</v>
      </c>
      <c r="Q18" s="232">
        <f t="shared" si="4"/>
        <v>6552892</v>
      </c>
      <c r="R18" s="232">
        <f>F18+K18</f>
        <v>50966342.83</v>
      </c>
    </row>
    <row r="19" spans="1:18" s="58" customFormat="1" ht="32.25" customHeight="1">
      <c r="A19" s="278"/>
      <c r="B19" s="237" t="s">
        <v>247</v>
      </c>
      <c r="C19" s="237" t="s">
        <v>134</v>
      </c>
      <c r="D19" s="238" t="s">
        <v>132</v>
      </c>
      <c r="E19" s="231" t="s">
        <v>246</v>
      </c>
      <c r="F19" s="240">
        <f t="shared" si="1"/>
        <v>97164</v>
      </c>
      <c r="G19" s="233">
        <f>70240-36640+63564</f>
        <v>97164</v>
      </c>
      <c r="H19" s="233">
        <v>0</v>
      </c>
      <c r="I19" s="233">
        <v>0</v>
      </c>
      <c r="J19" s="233">
        <v>0</v>
      </c>
      <c r="K19" s="240">
        <f>L19+O19</f>
        <v>0</v>
      </c>
      <c r="L19" s="232">
        <v>0</v>
      </c>
      <c r="M19" s="232">
        <v>0</v>
      </c>
      <c r="N19" s="232">
        <v>0</v>
      </c>
      <c r="O19" s="232">
        <f>P19</f>
        <v>0</v>
      </c>
      <c r="P19" s="232"/>
      <c r="Q19" s="232"/>
      <c r="R19" s="240">
        <f t="shared" si="2"/>
        <v>97164</v>
      </c>
    </row>
    <row r="20" spans="1:18" s="58" customFormat="1" ht="78.75">
      <c r="A20" s="276" t="s">
        <v>422</v>
      </c>
      <c r="B20" s="237" t="s">
        <v>237</v>
      </c>
      <c r="C20" s="237" t="s">
        <v>236</v>
      </c>
      <c r="D20" s="238" t="s">
        <v>128</v>
      </c>
      <c r="E20" s="231" t="s">
        <v>238</v>
      </c>
      <c r="F20" s="240">
        <f t="shared" si="1"/>
        <v>2180285</v>
      </c>
      <c r="G20" s="233">
        <f>1925745+64145+10370+90885-11000+65000+35140</f>
        <v>2180285</v>
      </c>
      <c r="H20" s="233">
        <v>1683747</v>
      </c>
      <c r="I20" s="233">
        <v>142211</v>
      </c>
      <c r="J20" s="233">
        <v>0</v>
      </c>
      <c r="K20" s="240">
        <f>L20+O20</f>
        <v>71020</v>
      </c>
      <c r="L20" s="233">
        <v>61020</v>
      </c>
      <c r="M20" s="233">
        <v>61020</v>
      </c>
      <c r="N20" s="233">
        <v>0</v>
      </c>
      <c r="O20" s="233">
        <f>75000-65000</f>
        <v>10000</v>
      </c>
      <c r="P20" s="233">
        <f>75000-65000</f>
        <v>10000</v>
      </c>
      <c r="Q20" s="233">
        <f>75000-65000</f>
        <v>10000</v>
      </c>
      <c r="R20" s="240">
        <f t="shared" si="2"/>
        <v>2251305</v>
      </c>
    </row>
    <row r="21" spans="1:18" s="132" customFormat="1" ht="31.5">
      <c r="A21" s="276" t="s">
        <v>422</v>
      </c>
      <c r="B21" s="237" t="s">
        <v>220</v>
      </c>
      <c r="C21" s="237" t="s">
        <v>355</v>
      </c>
      <c r="D21" s="238" t="s">
        <v>118</v>
      </c>
      <c r="E21" s="231" t="s">
        <v>310</v>
      </c>
      <c r="F21" s="240">
        <f t="shared" si="1"/>
        <v>15322864</v>
      </c>
      <c r="G21" s="233">
        <f>13308661+36640+1840060+186512-186512+137503</f>
        <v>15322864</v>
      </c>
      <c r="H21" s="233">
        <v>0</v>
      </c>
      <c r="I21" s="233">
        <v>0</v>
      </c>
      <c r="J21" s="233">
        <v>0</v>
      </c>
      <c r="K21" s="240">
        <f>L21+O21</f>
        <v>2866139</v>
      </c>
      <c r="L21" s="241">
        <f>180300</f>
        <v>180300</v>
      </c>
      <c r="M21" s="233">
        <v>0</v>
      </c>
      <c r="N21" s="233">
        <v>0</v>
      </c>
      <c r="O21" s="233">
        <f>2180762+91635+186512+46000+180930</f>
        <v>2685839</v>
      </c>
      <c r="P21" s="233">
        <f>2180762+91635+186512+46000+180930</f>
        <v>2685839</v>
      </c>
      <c r="Q21" s="233">
        <f>2180762+91635+186512+46000+180930</f>
        <v>2685839</v>
      </c>
      <c r="R21" s="240">
        <f t="shared" si="2"/>
        <v>18189003</v>
      </c>
    </row>
    <row r="22" spans="1:18" s="58" customFormat="1" ht="36" customHeight="1">
      <c r="A22" s="276" t="s">
        <v>422</v>
      </c>
      <c r="B22" s="237" t="s">
        <v>222</v>
      </c>
      <c r="C22" s="237" t="s">
        <v>221</v>
      </c>
      <c r="D22" s="238" t="s">
        <v>119</v>
      </c>
      <c r="E22" s="231" t="s">
        <v>223</v>
      </c>
      <c r="F22" s="240">
        <f t="shared" si="1"/>
        <v>4233629.859999999</v>
      </c>
      <c r="G22" s="233">
        <f>2616799+514691.15+32139.71+23000+1047000</f>
        <v>4233629.859999999</v>
      </c>
      <c r="H22" s="233">
        <v>0</v>
      </c>
      <c r="I22" s="233">
        <v>0</v>
      </c>
      <c r="J22" s="233">
        <v>0</v>
      </c>
      <c r="K22" s="240">
        <f aca="true" t="shared" si="5" ref="K22:K41">L22+O22</f>
        <v>727000</v>
      </c>
      <c r="L22" s="241"/>
      <c r="M22" s="233">
        <v>0</v>
      </c>
      <c r="N22" s="233">
        <v>0</v>
      </c>
      <c r="O22" s="233">
        <f>127000+600000</f>
        <v>727000</v>
      </c>
      <c r="P22" s="233">
        <f>127000+600000</f>
        <v>727000</v>
      </c>
      <c r="Q22" s="233">
        <f>127000+600000</f>
        <v>727000</v>
      </c>
      <c r="R22" s="240">
        <f t="shared" si="2"/>
        <v>4960629.859999999</v>
      </c>
    </row>
    <row r="23" spans="1:18" s="58" customFormat="1" ht="48" customHeight="1">
      <c r="A23" s="276" t="s">
        <v>422</v>
      </c>
      <c r="B23" s="237" t="s">
        <v>356</v>
      </c>
      <c r="C23" s="237" t="s">
        <v>357</v>
      </c>
      <c r="D23" s="238" t="s">
        <v>120</v>
      </c>
      <c r="E23" s="231" t="s">
        <v>358</v>
      </c>
      <c r="F23" s="240">
        <f t="shared" si="1"/>
        <v>450379</v>
      </c>
      <c r="G23" s="233">
        <f>178169+32139.71-32139.71+272210</f>
        <v>450379</v>
      </c>
      <c r="H23" s="233">
        <v>0</v>
      </c>
      <c r="I23" s="233">
        <v>0</v>
      </c>
      <c r="J23" s="233">
        <v>0</v>
      </c>
      <c r="K23" s="240">
        <f t="shared" si="5"/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/>
      <c r="R23" s="240">
        <f t="shared" si="2"/>
        <v>450379</v>
      </c>
    </row>
    <row r="24" spans="1:18" s="58" customFormat="1" ht="47.25">
      <c r="A24" s="276" t="s">
        <v>422</v>
      </c>
      <c r="B24" s="237" t="s">
        <v>359</v>
      </c>
      <c r="C24" s="237" t="s">
        <v>360</v>
      </c>
      <c r="D24" s="238" t="s">
        <v>120</v>
      </c>
      <c r="E24" s="231" t="s">
        <v>361</v>
      </c>
      <c r="F24" s="240">
        <f t="shared" si="1"/>
        <v>301000</v>
      </c>
      <c r="G24" s="233">
        <v>301000</v>
      </c>
      <c r="H24" s="233">
        <v>0</v>
      </c>
      <c r="I24" s="233">
        <v>0</v>
      </c>
      <c r="J24" s="233">
        <v>0</v>
      </c>
      <c r="K24" s="240">
        <f t="shared" si="5"/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/>
      <c r="R24" s="240">
        <f t="shared" si="2"/>
        <v>301000</v>
      </c>
    </row>
    <row r="25" spans="1:18" s="58" customFormat="1" ht="35.25" customHeight="1">
      <c r="A25" s="276" t="s">
        <v>422</v>
      </c>
      <c r="B25" s="237" t="s">
        <v>306</v>
      </c>
      <c r="C25" s="237" t="s">
        <v>305</v>
      </c>
      <c r="D25" s="238" t="s">
        <v>120</v>
      </c>
      <c r="E25" s="231" t="s">
        <v>362</v>
      </c>
      <c r="F25" s="240">
        <f t="shared" si="1"/>
        <v>600135</v>
      </c>
      <c r="G25" s="233">
        <v>600135</v>
      </c>
      <c r="H25" s="233">
        <v>0</v>
      </c>
      <c r="I25" s="233">
        <v>0</v>
      </c>
      <c r="J25" s="233">
        <v>0</v>
      </c>
      <c r="K25" s="240">
        <f t="shared" si="5"/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/>
      <c r="R25" s="240">
        <f t="shared" si="2"/>
        <v>600135</v>
      </c>
    </row>
    <row r="26" spans="1:18" s="58" customFormat="1" ht="33.75" customHeight="1">
      <c r="A26" s="276" t="s">
        <v>422</v>
      </c>
      <c r="B26" s="237" t="s">
        <v>219</v>
      </c>
      <c r="C26" s="237" t="s">
        <v>122</v>
      </c>
      <c r="D26" s="238" t="s">
        <v>123</v>
      </c>
      <c r="E26" s="231" t="s">
        <v>121</v>
      </c>
      <c r="F26" s="240">
        <f t="shared" si="1"/>
        <v>34000</v>
      </c>
      <c r="G26" s="233">
        <v>34000</v>
      </c>
      <c r="H26" s="233">
        <v>0</v>
      </c>
      <c r="I26" s="233">
        <v>0</v>
      </c>
      <c r="J26" s="233">
        <v>0</v>
      </c>
      <c r="K26" s="240">
        <f t="shared" si="5"/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/>
      <c r="R26" s="240">
        <f t="shared" si="2"/>
        <v>34000</v>
      </c>
    </row>
    <row r="27" spans="1:18" s="58" customFormat="1" ht="47.25">
      <c r="A27" s="278"/>
      <c r="B27" s="237" t="s">
        <v>225</v>
      </c>
      <c r="C27" s="237" t="s">
        <v>224</v>
      </c>
      <c r="D27" s="238" t="s">
        <v>123</v>
      </c>
      <c r="E27" s="231" t="s">
        <v>363</v>
      </c>
      <c r="F27" s="240">
        <f t="shared" si="1"/>
        <v>871530</v>
      </c>
      <c r="G27" s="233">
        <v>871530</v>
      </c>
      <c r="H27" s="233">
        <v>795215</v>
      </c>
      <c r="I27" s="233">
        <v>14715</v>
      </c>
      <c r="J27" s="233">
        <v>0</v>
      </c>
      <c r="K27" s="240">
        <f t="shared" si="5"/>
        <v>12800</v>
      </c>
      <c r="L27" s="233">
        <v>0</v>
      </c>
      <c r="M27" s="233">
        <v>0</v>
      </c>
      <c r="N27" s="233">
        <v>0</v>
      </c>
      <c r="O27" s="233">
        <v>12800</v>
      </c>
      <c r="P27" s="233">
        <v>12800</v>
      </c>
      <c r="Q27" s="233">
        <v>12800</v>
      </c>
      <c r="R27" s="240">
        <f t="shared" si="2"/>
        <v>884330</v>
      </c>
    </row>
    <row r="28" spans="1:18" s="58" customFormat="1" ht="33.75" customHeight="1">
      <c r="A28" s="278"/>
      <c r="B28" s="237" t="s">
        <v>228</v>
      </c>
      <c r="C28" s="237" t="s">
        <v>227</v>
      </c>
      <c r="D28" s="238" t="s">
        <v>123</v>
      </c>
      <c r="E28" s="231" t="s">
        <v>181</v>
      </c>
      <c r="F28" s="240">
        <f t="shared" si="1"/>
        <v>17630</v>
      </c>
      <c r="G28" s="233">
        <v>17630</v>
      </c>
      <c r="H28" s="233">
        <v>0</v>
      </c>
      <c r="I28" s="233">
        <v>0</v>
      </c>
      <c r="J28" s="233">
        <v>0</v>
      </c>
      <c r="K28" s="240">
        <f t="shared" si="5"/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/>
      <c r="R28" s="240">
        <f t="shared" si="2"/>
        <v>17630</v>
      </c>
    </row>
    <row r="29" spans="1:18" s="58" customFormat="1" ht="33.75" customHeight="1">
      <c r="A29" s="276" t="s">
        <v>422</v>
      </c>
      <c r="B29" s="237" t="s">
        <v>229</v>
      </c>
      <c r="C29" s="237" t="s">
        <v>124</v>
      </c>
      <c r="D29" s="238" t="s">
        <v>126</v>
      </c>
      <c r="E29" s="231" t="s">
        <v>231</v>
      </c>
      <c r="F29" s="240">
        <f t="shared" si="1"/>
        <v>1388363</v>
      </c>
      <c r="G29" s="233">
        <f>1290591+22000+31633+2139+42000</f>
        <v>1388363</v>
      </c>
      <c r="H29" s="233">
        <f>1131378+42000</f>
        <v>1173378</v>
      </c>
      <c r="I29" s="233">
        <v>82512</v>
      </c>
      <c r="J29" s="233">
        <v>0</v>
      </c>
      <c r="K29" s="240">
        <f t="shared" si="5"/>
        <v>203426</v>
      </c>
      <c r="L29" s="233">
        <v>0</v>
      </c>
      <c r="M29" s="233">
        <v>0</v>
      </c>
      <c r="N29" s="233">
        <v>0</v>
      </c>
      <c r="O29" s="233">
        <f>126090+21767+52483+3086</f>
        <v>203426</v>
      </c>
      <c r="P29" s="233">
        <f>126090+21767+52483+3086</f>
        <v>203426</v>
      </c>
      <c r="Q29" s="233">
        <f>126090+21767+52483+3086</f>
        <v>203426</v>
      </c>
      <c r="R29" s="240">
        <f t="shared" si="2"/>
        <v>1591789</v>
      </c>
    </row>
    <row r="30" spans="1:18" s="58" customFormat="1" ht="31.5" customHeight="1">
      <c r="A30" s="276" t="s">
        <v>422</v>
      </c>
      <c r="B30" s="237" t="s">
        <v>233</v>
      </c>
      <c r="C30" s="237" t="s">
        <v>232</v>
      </c>
      <c r="D30" s="238" t="s">
        <v>126</v>
      </c>
      <c r="E30" s="231" t="s">
        <v>234</v>
      </c>
      <c r="F30" s="240">
        <f t="shared" si="1"/>
        <v>517147</v>
      </c>
      <c r="G30" s="233">
        <f>517147</f>
        <v>517147</v>
      </c>
      <c r="H30" s="233">
        <v>395870</v>
      </c>
      <c r="I30" s="233">
        <v>61933</v>
      </c>
      <c r="J30" s="233">
        <v>0</v>
      </c>
      <c r="K30" s="240">
        <f t="shared" si="5"/>
        <v>230080</v>
      </c>
      <c r="L30" s="233">
        <v>0</v>
      </c>
      <c r="M30" s="233">
        <v>0</v>
      </c>
      <c r="N30" s="233">
        <v>0</v>
      </c>
      <c r="O30" s="233">
        <f>362080-132000</f>
        <v>230080</v>
      </c>
      <c r="P30" s="233">
        <f>362080-132000</f>
        <v>230080</v>
      </c>
      <c r="Q30" s="233">
        <f>362080-132000</f>
        <v>230080</v>
      </c>
      <c r="R30" s="240">
        <f t="shared" si="2"/>
        <v>747227</v>
      </c>
    </row>
    <row r="31" spans="1:18" s="58" customFormat="1" ht="47.25">
      <c r="A31" s="276" t="s">
        <v>422</v>
      </c>
      <c r="B31" s="237" t="s">
        <v>230</v>
      </c>
      <c r="C31" s="237" t="s">
        <v>125</v>
      </c>
      <c r="D31" s="238" t="s">
        <v>127</v>
      </c>
      <c r="E31" s="231" t="s">
        <v>235</v>
      </c>
      <c r="F31" s="240">
        <f t="shared" si="1"/>
        <v>2774223</v>
      </c>
      <c r="G31" s="233">
        <f>2467304+17800+32167+21972+4834+16754+7372-17800+170880+8240+35100+9600</f>
        <v>2774223</v>
      </c>
      <c r="H31" s="233">
        <f>2070298+32167+21972+4834+16754+7372</f>
        <v>2153397</v>
      </c>
      <c r="I31" s="233">
        <v>289038</v>
      </c>
      <c r="J31" s="233">
        <v>0</v>
      </c>
      <c r="K31" s="240">
        <f t="shared" si="5"/>
        <v>1670786</v>
      </c>
      <c r="L31" s="233">
        <v>0</v>
      </c>
      <c r="M31" s="233">
        <v>0</v>
      </c>
      <c r="N31" s="233">
        <v>0</v>
      </c>
      <c r="O31" s="233">
        <f>1114562+147200+30000+40000+100000+207024+28000+4000</f>
        <v>1670786</v>
      </c>
      <c r="P31" s="233">
        <f>1114562+147200+30000+40000+100000+207024+28000+4000</f>
        <v>1670786</v>
      </c>
      <c r="Q31" s="233">
        <f>1114562+147200+40000+28000+4000</f>
        <v>1333762</v>
      </c>
      <c r="R31" s="240">
        <f t="shared" si="2"/>
        <v>4445009</v>
      </c>
    </row>
    <row r="32" spans="1:18" s="58" customFormat="1" ht="32.25" customHeight="1">
      <c r="A32" s="279"/>
      <c r="B32" s="237" t="s">
        <v>314</v>
      </c>
      <c r="C32" s="237" t="s">
        <v>312</v>
      </c>
      <c r="D32" s="238" t="s">
        <v>313</v>
      </c>
      <c r="E32" s="231" t="s">
        <v>311</v>
      </c>
      <c r="F32" s="240">
        <f t="shared" si="1"/>
        <v>252696</v>
      </c>
      <c r="G32" s="233">
        <f>157400+28200+30000+17800+24960-3000+3000+4336-30000+20000</f>
        <v>252696</v>
      </c>
      <c r="H32" s="233">
        <v>0</v>
      </c>
      <c r="I32" s="233">
        <v>0</v>
      </c>
      <c r="J32" s="233">
        <v>0</v>
      </c>
      <c r="K32" s="240">
        <f t="shared" si="5"/>
        <v>30000</v>
      </c>
      <c r="L32" s="233">
        <v>0</v>
      </c>
      <c r="M32" s="233">
        <v>0</v>
      </c>
      <c r="N32" s="233">
        <v>0</v>
      </c>
      <c r="O32" s="233">
        <v>30000</v>
      </c>
      <c r="P32" s="233">
        <v>30000</v>
      </c>
      <c r="Q32" s="233">
        <v>30000</v>
      </c>
      <c r="R32" s="240">
        <f t="shared" si="2"/>
        <v>282696</v>
      </c>
    </row>
    <row r="33" spans="1:18" s="58" customFormat="1" ht="80.25" customHeight="1">
      <c r="A33" s="280" t="s">
        <v>422</v>
      </c>
      <c r="B33" s="237" t="s">
        <v>239</v>
      </c>
      <c r="C33" s="237" t="s">
        <v>183</v>
      </c>
      <c r="D33" s="238" t="s">
        <v>129</v>
      </c>
      <c r="E33" s="231" t="s">
        <v>364</v>
      </c>
      <c r="F33" s="240">
        <f t="shared" si="1"/>
        <v>2220688</v>
      </c>
      <c r="G33" s="233">
        <f>1588242+48120+10586+31868+78488+1320+37400+34910+33600+66840+37140-6840+25500+10500+30500+192514</f>
        <v>2220688</v>
      </c>
      <c r="H33" s="233">
        <f>670357+48120+10586+30500</f>
        <v>759563</v>
      </c>
      <c r="I33" s="233">
        <v>118220</v>
      </c>
      <c r="J33" s="233">
        <v>0</v>
      </c>
      <c r="K33" s="240">
        <f t="shared" si="5"/>
        <v>431585</v>
      </c>
      <c r="L33" s="233">
        <v>0</v>
      </c>
      <c r="M33" s="233">
        <v>0</v>
      </c>
      <c r="N33" s="233">
        <v>0</v>
      </c>
      <c r="O33" s="233">
        <f>27310+344520+25480+34275</f>
        <v>431585</v>
      </c>
      <c r="P33" s="233">
        <f>27310+344520+25480+34275</f>
        <v>431585</v>
      </c>
      <c r="Q33" s="233">
        <f>27310+344520+25480+34275</f>
        <v>431585</v>
      </c>
      <c r="R33" s="240">
        <f t="shared" si="2"/>
        <v>2652273</v>
      </c>
    </row>
    <row r="34" spans="1:18" s="58" customFormat="1" ht="33.75" customHeight="1">
      <c r="A34" s="280"/>
      <c r="B34" s="237" t="s">
        <v>464</v>
      </c>
      <c r="C34" s="237">
        <v>7321</v>
      </c>
      <c r="D34" s="238" t="s">
        <v>435</v>
      </c>
      <c r="E34" s="260" t="s">
        <v>434</v>
      </c>
      <c r="F34" s="240">
        <f t="shared" si="1"/>
        <v>0</v>
      </c>
      <c r="G34" s="233"/>
      <c r="H34" s="233"/>
      <c r="I34" s="233"/>
      <c r="J34" s="233"/>
      <c r="K34" s="240">
        <f t="shared" si="5"/>
        <v>25000</v>
      </c>
      <c r="L34" s="233"/>
      <c r="M34" s="233"/>
      <c r="N34" s="233"/>
      <c r="O34" s="233">
        <v>25000</v>
      </c>
      <c r="P34" s="233">
        <v>25000</v>
      </c>
      <c r="Q34" s="233">
        <v>25000</v>
      </c>
      <c r="R34" s="240">
        <f t="shared" si="2"/>
        <v>25000</v>
      </c>
    </row>
    <row r="35" spans="1:18" s="58" customFormat="1" ht="47.25" customHeight="1">
      <c r="A35" s="276" t="s">
        <v>422</v>
      </c>
      <c r="B35" s="237" t="s">
        <v>241</v>
      </c>
      <c r="C35" s="237" t="s">
        <v>240</v>
      </c>
      <c r="D35" s="238" t="s">
        <v>81</v>
      </c>
      <c r="E35" s="231" t="s">
        <v>130</v>
      </c>
      <c r="F35" s="240">
        <f t="shared" si="1"/>
        <v>1500</v>
      </c>
      <c r="G35" s="233">
        <v>1500</v>
      </c>
      <c r="H35" s="233">
        <v>0</v>
      </c>
      <c r="I35" s="233">
        <v>0</v>
      </c>
      <c r="J35" s="233">
        <v>0</v>
      </c>
      <c r="K35" s="240">
        <f t="shared" si="5"/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/>
      <c r="R35" s="240">
        <f t="shared" si="2"/>
        <v>1500</v>
      </c>
    </row>
    <row r="36" spans="1:18" s="58" customFormat="1" ht="15.75" customHeight="1">
      <c r="A36" s="279"/>
      <c r="B36" s="237" t="s">
        <v>315</v>
      </c>
      <c r="C36" s="237" t="s">
        <v>318</v>
      </c>
      <c r="D36" s="238" t="s">
        <v>317</v>
      </c>
      <c r="E36" s="231" t="s">
        <v>316</v>
      </c>
      <c r="F36" s="240">
        <f t="shared" si="1"/>
        <v>30000</v>
      </c>
      <c r="G36" s="233">
        <v>30000</v>
      </c>
      <c r="H36" s="233">
        <v>0</v>
      </c>
      <c r="I36" s="233">
        <v>0</v>
      </c>
      <c r="J36" s="233">
        <v>0</v>
      </c>
      <c r="K36" s="240">
        <f t="shared" si="5"/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/>
      <c r="R36" s="240">
        <f t="shared" si="2"/>
        <v>30000</v>
      </c>
    </row>
    <row r="37" spans="1:18" s="58" customFormat="1" ht="49.5" customHeight="1">
      <c r="A37" s="279"/>
      <c r="B37" s="237" t="s">
        <v>459</v>
      </c>
      <c r="C37" s="237">
        <v>8110</v>
      </c>
      <c r="D37" s="238" t="s">
        <v>461</v>
      </c>
      <c r="E37" s="260" t="s">
        <v>460</v>
      </c>
      <c r="F37" s="240">
        <f t="shared" si="1"/>
        <v>28360</v>
      </c>
      <c r="G37" s="233">
        <v>28360</v>
      </c>
      <c r="H37" s="233"/>
      <c r="I37" s="233"/>
      <c r="J37" s="233"/>
      <c r="K37" s="240"/>
      <c r="L37" s="233"/>
      <c r="M37" s="233"/>
      <c r="N37" s="233"/>
      <c r="O37" s="233"/>
      <c r="P37" s="233"/>
      <c r="Q37" s="233"/>
      <c r="R37" s="240">
        <f t="shared" si="2"/>
        <v>28360</v>
      </c>
    </row>
    <row r="38" spans="1:18" s="58" customFormat="1" ht="38.25" customHeight="1">
      <c r="A38" s="276" t="s">
        <v>43</v>
      </c>
      <c r="B38" s="237" t="s">
        <v>339</v>
      </c>
      <c r="C38" s="237" t="s">
        <v>338</v>
      </c>
      <c r="D38" s="238" t="s">
        <v>134</v>
      </c>
      <c r="E38" s="231" t="s">
        <v>337</v>
      </c>
      <c r="F38" s="240">
        <f t="shared" si="1"/>
        <v>21171</v>
      </c>
      <c r="G38" s="233">
        <v>21171</v>
      </c>
      <c r="H38" s="233">
        <v>0</v>
      </c>
      <c r="I38" s="233">
        <v>0</v>
      </c>
      <c r="J38" s="233">
        <v>0</v>
      </c>
      <c r="K38" s="240">
        <f t="shared" si="5"/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/>
      <c r="R38" s="240">
        <f t="shared" si="2"/>
        <v>21171</v>
      </c>
    </row>
    <row r="39" spans="1:18" s="58" customFormat="1" ht="84" customHeight="1">
      <c r="A39" s="276" t="s">
        <v>43</v>
      </c>
      <c r="B39" s="237" t="s">
        <v>409</v>
      </c>
      <c r="C39" s="237">
        <v>9420</v>
      </c>
      <c r="D39" s="238" t="s">
        <v>134</v>
      </c>
      <c r="E39" s="260" t="s">
        <v>410</v>
      </c>
      <c r="F39" s="240">
        <f t="shared" si="1"/>
        <v>325000</v>
      </c>
      <c r="G39" s="233">
        <v>325000</v>
      </c>
      <c r="H39" s="233"/>
      <c r="I39" s="233"/>
      <c r="J39" s="233"/>
      <c r="K39" s="240"/>
      <c r="L39" s="233"/>
      <c r="M39" s="233"/>
      <c r="N39" s="233"/>
      <c r="O39" s="233"/>
      <c r="P39" s="233"/>
      <c r="Q39" s="233"/>
      <c r="R39" s="240">
        <f t="shared" si="2"/>
        <v>325000</v>
      </c>
    </row>
    <row r="40" spans="1:18" s="58" customFormat="1" ht="135" customHeight="1">
      <c r="A40" s="276" t="s">
        <v>43</v>
      </c>
      <c r="B40" s="237" t="s">
        <v>430</v>
      </c>
      <c r="C40" s="237" t="s">
        <v>431</v>
      </c>
      <c r="D40" s="238" t="s">
        <v>134</v>
      </c>
      <c r="E40" s="231" t="s">
        <v>432</v>
      </c>
      <c r="F40" s="240">
        <f t="shared" si="1"/>
        <v>1858563.97</v>
      </c>
      <c r="G40" s="233">
        <v>0</v>
      </c>
      <c r="H40" s="233">
        <v>0</v>
      </c>
      <c r="I40" s="233">
        <v>0</v>
      </c>
      <c r="J40" s="233">
        <f>1640000+218563.97</f>
        <v>1858563.97</v>
      </c>
      <c r="K40" s="240">
        <f t="shared" si="5"/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/>
      <c r="R40" s="240">
        <f t="shared" si="2"/>
        <v>1858563.97</v>
      </c>
    </row>
    <row r="41" spans="1:18" s="58" customFormat="1" ht="33" customHeight="1">
      <c r="A41" s="276" t="s">
        <v>43</v>
      </c>
      <c r="B41" s="237" t="s">
        <v>243</v>
      </c>
      <c r="C41" s="237" t="s">
        <v>242</v>
      </c>
      <c r="D41" s="238" t="s">
        <v>134</v>
      </c>
      <c r="E41" s="231" t="s">
        <v>365</v>
      </c>
      <c r="F41" s="240">
        <f t="shared" si="1"/>
        <v>10035010</v>
      </c>
      <c r="G41" s="233">
        <f>7316327+70000+60000+50000+2000000+5000+29470+179589+30000+32624+12000+200000+50000</f>
        <v>10035010</v>
      </c>
      <c r="H41" s="233">
        <v>0</v>
      </c>
      <c r="I41" s="233">
        <v>0</v>
      </c>
      <c r="J41" s="233">
        <v>0</v>
      </c>
      <c r="K41" s="240">
        <f t="shared" si="5"/>
        <v>863400</v>
      </c>
      <c r="L41" s="233">
        <v>0</v>
      </c>
      <c r="M41" s="233">
        <v>0</v>
      </c>
      <c r="N41" s="233">
        <v>0</v>
      </c>
      <c r="O41" s="233">
        <f>2203400+660000-2000000</f>
        <v>863400</v>
      </c>
      <c r="P41" s="233">
        <f>2203400+660000-2000000</f>
        <v>863400</v>
      </c>
      <c r="Q41" s="233">
        <f>2203400+660000-2000000</f>
        <v>863400</v>
      </c>
      <c r="R41" s="240">
        <f t="shared" si="2"/>
        <v>10898410</v>
      </c>
    </row>
    <row r="42" spans="1:18" s="58" customFormat="1" ht="69" customHeight="1">
      <c r="A42" s="276" t="s">
        <v>43</v>
      </c>
      <c r="B42" s="237" t="s">
        <v>404</v>
      </c>
      <c r="C42" s="237">
        <v>9800</v>
      </c>
      <c r="D42" s="238" t="s">
        <v>134</v>
      </c>
      <c r="E42" s="260" t="s">
        <v>405</v>
      </c>
      <c r="F42" s="240">
        <f t="shared" si="1"/>
        <v>273768</v>
      </c>
      <c r="G42" s="233">
        <v>273768</v>
      </c>
      <c r="H42" s="233"/>
      <c r="I42" s="233"/>
      <c r="J42" s="233"/>
      <c r="K42" s="240"/>
      <c r="L42" s="233"/>
      <c r="M42" s="233"/>
      <c r="N42" s="233"/>
      <c r="O42" s="233"/>
      <c r="P42" s="233"/>
      <c r="Q42" s="233"/>
      <c r="R42" s="240">
        <f t="shared" si="2"/>
        <v>273768</v>
      </c>
    </row>
    <row r="43" spans="1:18" s="58" customFormat="1" ht="18" customHeight="1">
      <c r="A43" s="276"/>
      <c r="B43" s="234" t="s">
        <v>248</v>
      </c>
      <c r="C43" s="235"/>
      <c r="D43" s="236"/>
      <c r="E43" s="227" t="s">
        <v>197</v>
      </c>
      <c r="F43" s="240">
        <f>G43+J43</f>
        <v>49831607</v>
      </c>
      <c r="G43" s="232">
        <f>G44</f>
        <v>49831607</v>
      </c>
      <c r="H43" s="232">
        <f aca="true" t="shared" si="6" ref="H43:Q43">H44</f>
        <v>37422070</v>
      </c>
      <c r="I43" s="232">
        <f t="shared" si="6"/>
        <v>6078251</v>
      </c>
      <c r="J43" s="232">
        <f t="shared" si="6"/>
        <v>0</v>
      </c>
      <c r="K43" s="232">
        <f t="shared" si="6"/>
        <v>7614069.37</v>
      </c>
      <c r="L43" s="232">
        <f t="shared" si="6"/>
        <v>152720</v>
      </c>
      <c r="M43" s="232">
        <f t="shared" si="6"/>
        <v>95720</v>
      </c>
      <c r="N43" s="232">
        <f t="shared" si="6"/>
        <v>0</v>
      </c>
      <c r="O43" s="232">
        <f t="shared" si="6"/>
        <v>7461349.37</v>
      </c>
      <c r="P43" s="232">
        <f t="shared" si="6"/>
        <v>7461349.37</v>
      </c>
      <c r="Q43" s="232">
        <f t="shared" si="6"/>
        <v>5585592</v>
      </c>
      <c r="R43" s="240">
        <f t="shared" si="2"/>
        <v>57445676.37</v>
      </c>
    </row>
    <row r="44" spans="1:18" s="58" customFormat="1" ht="20.25">
      <c r="A44" s="276"/>
      <c r="B44" s="234" t="s">
        <v>366</v>
      </c>
      <c r="C44" s="235"/>
      <c r="D44" s="236"/>
      <c r="E44" s="227" t="s">
        <v>197</v>
      </c>
      <c r="F44" s="240">
        <f>G44+J44</f>
        <v>49831607</v>
      </c>
      <c r="G44" s="232">
        <f>SUM(G45:G51)</f>
        <v>49831607</v>
      </c>
      <c r="H44" s="232">
        <f aca="true" t="shared" si="7" ref="H44:N44">SUM(H45:H50)</f>
        <v>37422070</v>
      </c>
      <c r="I44" s="232">
        <f t="shared" si="7"/>
        <v>6078251</v>
      </c>
      <c r="J44" s="232">
        <f t="shared" si="7"/>
        <v>0</v>
      </c>
      <c r="K44" s="232">
        <f>SUM(K45:K51)</f>
        <v>7614069.37</v>
      </c>
      <c r="L44" s="232">
        <f t="shared" si="7"/>
        <v>152720</v>
      </c>
      <c r="M44" s="232">
        <f t="shared" si="7"/>
        <v>95720</v>
      </c>
      <c r="N44" s="232">
        <f t="shared" si="7"/>
        <v>0</v>
      </c>
      <c r="O44" s="232">
        <f>SUM(O45:O51)</f>
        <v>7461349.37</v>
      </c>
      <c r="P44" s="232">
        <f>SUM(P45:P51)</f>
        <v>7461349.37</v>
      </c>
      <c r="Q44" s="232">
        <f>SUM(Q45:Q51)</f>
        <v>5585592</v>
      </c>
      <c r="R44" s="240">
        <f>F44+K44</f>
        <v>57445676.37</v>
      </c>
    </row>
    <row r="45" spans="1:18" s="58" customFormat="1" ht="97.5" customHeight="1">
      <c r="A45" s="280" t="s">
        <v>422</v>
      </c>
      <c r="B45" s="237" t="s">
        <v>249</v>
      </c>
      <c r="C45" s="237" t="s">
        <v>135</v>
      </c>
      <c r="D45" s="238" t="s">
        <v>137</v>
      </c>
      <c r="E45" s="231" t="s">
        <v>367</v>
      </c>
      <c r="F45" s="240">
        <f t="shared" si="1"/>
        <v>45799169</v>
      </c>
      <c r="G45" s="233">
        <f>43097852+89352+19658+250579+31050+66900+9000+181610+3840+7132+67000+5700-10000+500000+93922+27751+11872+10500+5800+32000+25000+44676+9830+7800+10000+50900+30000+20000+37000+6240+63666+7800+11000+12780+30000+33200+43844+372675+113487+215142+51769+74460+16382+10000</f>
        <v>45799169</v>
      </c>
      <c r="H45" s="233">
        <f>34118868+89352+19658+44676+9830+74460+16382</f>
        <v>34373226</v>
      </c>
      <c r="I45" s="233">
        <v>5770523</v>
      </c>
      <c r="J45" s="233">
        <v>0</v>
      </c>
      <c r="K45" s="240">
        <f aca="true" t="shared" si="8" ref="K45:K51">L45+O45</f>
        <v>4931820</v>
      </c>
      <c r="L45" s="241">
        <f>152720</f>
        <v>152720</v>
      </c>
      <c r="M45" s="241">
        <v>95720</v>
      </c>
      <c r="N45" s="241">
        <v>0</v>
      </c>
      <c r="O45" s="241">
        <f>2941643-600000+100000+850000+776500+100000+948500+100000+106000+10000-500000-1450000+10800+113744+18000+80860+1016846+434209+43421-372675+51252</f>
        <v>4779100</v>
      </c>
      <c r="P45" s="233">
        <f>2941643-600000+100000+850000+776500+100000+948500+100000+106000+10000-500000-1450000+10800+113744+80860+18000+1016846+434209+43421-372675+51252</f>
        <v>4779100</v>
      </c>
      <c r="Q45" s="233">
        <f>2941643-600000+100000+850000+776500+100000+10000-500000-1450000+10800+113744+18000+80860+1016846+434209+43421-372675+51252</f>
        <v>3624600</v>
      </c>
      <c r="R45" s="240">
        <f t="shared" si="2"/>
        <v>50730989</v>
      </c>
    </row>
    <row r="46" spans="1:18" s="58" customFormat="1" ht="63">
      <c r="A46" s="280" t="s">
        <v>422</v>
      </c>
      <c r="B46" s="237" t="s">
        <v>250</v>
      </c>
      <c r="C46" s="237" t="s">
        <v>138</v>
      </c>
      <c r="D46" s="238" t="s">
        <v>128</v>
      </c>
      <c r="E46" s="231" t="s">
        <v>139</v>
      </c>
      <c r="F46" s="240">
        <f t="shared" si="1"/>
        <v>689811</v>
      </c>
      <c r="G46" s="233">
        <f>643533+43900+2378</f>
        <v>689811</v>
      </c>
      <c r="H46" s="233">
        <v>596689</v>
      </c>
      <c r="I46" s="233">
        <v>28025</v>
      </c>
      <c r="J46" s="233">
        <v>0</v>
      </c>
      <c r="K46" s="240">
        <f t="shared" si="8"/>
        <v>10992</v>
      </c>
      <c r="L46" s="233">
        <v>0</v>
      </c>
      <c r="M46" s="233">
        <v>0</v>
      </c>
      <c r="N46" s="233">
        <v>0</v>
      </c>
      <c r="O46" s="233">
        <f>13370-2378</f>
        <v>10992</v>
      </c>
      <c r="P46" s="233">
        <f>13370-2378</f>
        <v>10992</v>
      </c>
      <c r="Q46" s="233">
        <f>13370-2378</f>
        <v>10992</v>
      </c>
      <c r="R46" s="240">
        <f t="shared" si="2"/>
        <v>700803</v>
      </c>
    </row>
    <row r="47" spans="1:18" s="58" customFormat="1" ht="31.5">
      <c r="A47" s="280" t="s">
        <v>422</v>
      </c>
      <c r="B47" s="237" t="s">
        <v>252</v>
      </c>
      <c r="C47" s="237" t="s">
        <v>251</v>
      </c>
      <c r="D47" s="238" t="s">
        <v>140</v>
      </c>
      <c r="E47" s="231" t="s">
        <v>253</v>
      </c>
      <c r="F47" s="240">
        <f t="shared" si="1"/>
        <v>798857</v>
      </c>
      <c r="G47" s="233">
        <f>770397+31460-3000</f>
        <v>798857</v>
      </c>
      <c r="H47" s="233">
        <v>498471</v>
      </c>
      <c r="I47" s="233">
        <v>51988</v>
      </c>
      <c r="J47" s="233">
        <v>0</v>
      </c>
      <c r="K47" s="240">
        <f t="shared" si="8"/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/>
      <c r="R47" s="240">
        <f t="shared" si="2"/>
        <v>798857</v>
      </c>
    </row>
    <row r="48" spans="1:18" s="58" customFormat="1" ht="31.5" customHeight="1">
      <c r="A48" s="280" t="s">
        <v>422</v>
      </c>
      <c r="B48" s="237" t="s">
        <v>302</v>
      </c>
      <c r="C48" s="237" t="s">
        <v>304</v>
      </c>
      <c r="D48" s="238" t="s">
        <v>140</v>
      </c>
      <c r="E48" s="231" t="s">
        <v>303</v>
      </c>
      <c r="F48" s="240">
        <f t="shared" si="1"/>
        <v>1452148</v>
      </c>
      <c r="G48" s="233">
        <f>1416372+8496+5500+3360+5700+1080+11640</f>
        <v>1452148</v>
      </c>
      <c r="H48" s="233">
        <v>1245731</v>
      </c>
      <c r="I48" s="233">
        <f>38775+3360+11640</f>
        <v>53775</v>
      </c>
      <c r="J48" s="233">
        <v>0</v>
      </c>
      <c r="K48" s="240">
        <f t="shared" si="8"/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/>
      <c r="R48" s="240">
        <f t="shared" si="2"/>
        <v>1452148</v>
      </c>
    </row>
    <row r="49" spans="1:18" s="58" customFormat="1" ht="48" customHeight="1">
      <c r="A49" s="280" t="s">
        <v>422</v>
      </c>
      <c r="B49" s="237" t="s">
        <v>402</v>
      </c>
      <c r="C49" s="237" t="s">
        <v>401</v>
      </c>
      <c r="D49" s="238" t="s">
        <v>123</v>
      </c>
      <c r="E49" s="231" t="s">
        <v>403</v>
      </c>
      <c r="F49" s="240">
        <f t="shared" si="1"/>
        <v>1810</v>
      </c>
      <c r="G49" s="233">
        <v>1810</v>
      </c>
      <c r="H49" s="233">
        <v>0</v>
      </c>
      <c r="I49" s="233">
        <v>0</v>
      </c>
      <c r="J49" s="233">
        <v>0</v>
      </c>
      <c r="K49" s="240">
        <f t="shared" si="8"/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/>
      <c r="R49" s="240">
        <f t="shared" si="2"/>
        <v>1810</v>
      </c>
    </row>
    <row r="50" spans="1:18" s="58" customFormat="1" ht="47.25" customHeight="1">
      <c r="A50" s="280" t="s">
        <v>422</v>
      </c>
      <c r="B50" s="237" t="s">
        <v>257</v>
      </c>
      <c r="C50" s="237" t="s">
        <v>184</v>
      </c>
      <c r="D50" s="238" t="s">
        <v>129</v>
      </c>
      <c r="E50" s="231" t="s">
        <v>143</v>
      </c>
      <c r="F50" s="240">
        <f t="shared" si="1"/>
        <v>1089812</v>
      </c>
      <c r="G50" s="233">
        <f>1039112+5000+35600+5000+1500+3600</f>
        <v>1089812</v>
      </c>
      <c r="H50" s="233">
        <v>707953</v>
      </c>
      <c r="I50" s="233">
        <v>173940</v>
      </c>
      <c r="J50" s="233">
        <v>0</v>
      </c>
      <c r="K50" s="240">
        <f t="shared" si="8"/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/>
      <c r="R50" s="240">
        <f t="shared" si="2"/>
        <v>1089812</v>
      </c>
    </row>
    <row r="51" spans="1:18" s="58" customFormat="1" ht="47.25" customHeight="1">
      <c r="A51" s="280"/>
      <c r="B51" s="237" t="s">
        <v>433</v>
      </c>
      <c r="C51" s="237">
        <v>7321</v>
      </c>
      <c r="D51" s="238" t="s">
        <v>435</v>
      </c>
      <c r="E51" s="260" t="s">
        <v>434</v>
      </c>
      <c r="F51" s="240">
        <f t="shared" si="1"/>
        <v>0</v>
      </c>
      <c r="G51" s="233"/>
      <c r="H51" s="233"/>
      <c r="I51" s="233"/>
      <c r="J51" s="233"/>
      <c r="K51" s="240">
        <f t="shared" si="8"/>
        <v>2671257.37</v>
      </c>
      <c r="L51" s="233"/>
      <c r="M51" s="233"/>
      <c r="N51" s="233"/>
      <c r="O51" s="233">
        <f>1450000+721257.37+120040+218757+81203+80000</f>
        <v>2671257.37</v>
      </c>
      <c r="P51" s="233">
        <f>1450000+721257.37+120040+218757+81203+80000</f>
        <v>2671257.37</v>
      </c>
      <c r="Q51" s="233">
        <f>1450000+120040+218757+81203+80000</f>
        <v>1950000</v>
      </c>
      <c r="R51" s="240">
        <f t="shared" si="2"/>
        <v>2671257.37</v>
      </c>
    </row>
    <row r="52" spans="1:18" s="58" customFormat="1" ht="34.5" customHeight="1">
      <c r="A52" s="280"/>
      <c r="B52" s="234" t="s">
        <v>259</v>
      </c>
      <c r="C52" s="235"/>
      <c r="D52" s="236"/>
      <c r="E52" s="227" t="s">
        <v>198</v>
      </c>
      <c r="F52" s="240">
        <f>G52+J52</f>
        <v>57048068</v>
      </c>
      <c r="G52" s="232">
        <f>G53</f>
        <v>57048068</v>
      </c>
      <c r="H52" s="232">
        <f aca="true" t="shared" si="9" ref="H52:R52">H53</f>
        <v>4350832</v>
      </c>
      <c r="I52" s="232">
        <f t="shared" si="9"/>
        <v>77558</v>
      </c>
      <c r="J52" s="232">
        <f t="shared" si="9"/>
        <v>0</v>
      </c>
      <c r="K52" s="232">
        <f>K53</f>
        <v>254000</v>
      </c>
      <c r="L52" s="232">
        <f t="shared" si="9"/>
        <v>55000</v>
      </c>
      <c r="M52" s="232">
        <f t="shared" si="9"/>
        <v>38700</v>
      </c>
      <c r="N52" s="232">
        <f t="shared" si="9"/>
        <v>0</v>
      </c>
      <c r="O52" s="232">
        <f t="shared" si="9"/>
        <v>199000</v>
      </c>
      <c r="P52" s="232">
        <f t="shared" si="9"/>
        <v>199000</v>
      </c>
      <c r="Q52" s="232">
        <f t="shared" si="9"/>
        <v>199000</v>
      </c>
      <c r="R52" s="232">
        <f t="shared" si="9"/>
        <v>57302068</v>
      </c>
    </row>
    <row r="53" spans="1:18" s="58" customFormat="1" ht="34.5" customHeight="1">
      <c r="A53" s="280"/>
      <c r="B53" s="234" t="s">
        <v>368</v>
      </c>
      <c r="C53" s="235"/>
      <c r="D53" s="236"/>
      <c r="E53" s="227" t="s">
        <v>198</v>
      </c>
      <c r="F53" s="240">
        <f>G53+J53</f>
        <v>57048068</v>
      </c>
      <c r="G53" s="232">
        <f>G55+G58+G61+G64+G72+G76+G77+G78+G79+G80+G81+G82+G83+G54</f>
        <v>57048068</v>
      </c>
      <c r="H53" s="232">
        <f aca="true" t="shared" si="10" ref="H53:Q53">H55+H58+H61+H64+H72+H76+H77+H78+H79+H80+H81+H82</f>
        <v>4350832</v>
      </c>
      <c r="I53" s="232">
        <f t="shared" si="10"/>
        <v>77558</v>
      </c>
      <c r="J53" s="232">
        <f t="shared" si="10"/>
        <v>0</v>
      </c>
      <c r="K53" s="232">
        <f t="shared" si="10"/>
        <v>254000</v>
      </c>
      <c r="L53" s="232">
        <f t="shared" si="10"/>
        <v>55000</v>
      </c>
      <c r="M53" s="232">
        <f t="shared" si="10"/>
        <v>38700</v>
      </c>
      <c r="N53" s="232">
        <f t="shared" si="10"/>
        <v>0</v>
      </c>
      <c r="O53" s="232">
        <f t="shared" si="10"/>
        <v>199000</v>
      </c>
      <c r="P53" s="232">
        <f t="shared" si="10"/>
        <v>199000</v>
      </c>
      <c r="Q53" s="232">
        <f t="shared" si="10"/>
        <v>199000</v>
      </c>
      <c r="R53" s="240">
        <f>F53+K53</f>
        <v>57302068</v>
      </c>
    </row>
    <row r="54" spans="1:18" s="58" customFormat="1" ht="34.5" customHeight="1">
      <c r="A54" s="280"/>
      <c r="B54" s="237" t="s">
        <v>436</v>
      </c>
      <c r="C54" s="291" t="s">
        <v>134</v>
      </c>
      <c r="D54" s="238" t="s">
        <v>132</v>
      </c>
      <c r="E54" s="231" t="s">
        <v>246</v>
      </c>
      <c r="F54" s="240">
        <f>G54+J54</f>
        <v>11200</v>
      </c>
      <c r="G54" s="233">
        <v>11200</v>
      </c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40">
        <f>F54+K54</f>
        <v>11200</v>
      </c>
    </row>
    <row r="55" spans="1:18" s="58" customFormat="1" ht="96.75" customHeight="1">
      <c r="A55" s="280"/>
      <c r="B55" s="288" t="s">
        <v>369</v>
      </c>
      <c r="C55" s="288" t="s">
        <v>370</v>
      </c>
      <c r="D55" s="289"/>
      <c r="E55" s="290" t="s">
        <v>371</v>
      </c>
      <c r="F55" s="240">
        <f t="shared" si="1"/>
        <v>27846762</v>
      </c>
      <c r="G55" s="232">
        <f>G56+G57</f>
        <v>27846762</v>
      </c>
      <c r="H55" s="232">
        <v>0</v>
      </c>
      <c r="I55" s="232">
        <v>0</v>
      </c>
      <c r="J55" s="232">
        <v>0</v>
      </c>
      <c r="K55" s="240">
        <f>L55+P55</f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/>
      <c r="R55" s="240">
        <f t="shared" si="2"/>
        <v>27846762</v>
      </c>
    </row>
    <row r="56" spans="1:18" s="58" customFormat="1" ht="63">
      <c r="A56" s="280" t="s">
        <v>422</v>
      </c>
      <c r="B56" s="237" t="s">
        <v>260</v>
      </c>
      <c r="C56" s="237" t="s">
        <v>144</v>
      </c>
      <c r="D56" s="238" t="s">
        <v>146</v>
      </c>
      <c r="E56" s="231" t="s">
        <v>307</v>
      </c>
      <c r="F56" s="240">
        <f t="shared" si="1"/>
        <v>4765309</v>
      </c>
      <c r="G56" s="233">
        <v>4765309</v>
      </c>
      <c r="H56" s="233">
        <v>0</v>
      </c>
      <c r="I56" s="233">
        <v>0</v>
      </c>
      <c r="J56" s="233">
        <v>0</v>
      </c>
      <c r="K56" s="240">
        <f aca="true" t="shared" si="11" ref="K56:K82">L56+P56</f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/>
      <c r="R56" s="240">
        <f t="shared" si="2"/>
        <v>4765309</v>
      </c>
    </row>
    <row r="57" spans="1:18" s="58" customFormat="1" ht="49.5" customHeight="1">
      <c r="A57" s="280" t="s">
        <v>422</v>
      </c>
      <c r="B57" s="237" t="s">
        <v>261</v>
      </c>
      <c r="C57" s="237" t="s">
        <v>145</v>
      </c>
      <c r="D57" s="238" t="s">
        <v>80</v>
      </c>
      <c r="E57" s="231" t="s">
        <v>15</v>
      </c>
      <c r="F57" s="240">
        <f t="shared" si="1"/>
        <v>23081453</v>
      </c>
      <c r="G57" s="233">
        <v>23081453</v>
      </c>
      <c r="H57" s="233">
        <v>0</v>
      </c>
      <c r="I57" s="233">
        <v>0</v>
      </c>
      <c r="J57" s="233">
        <v>0</v>
      </c>
      <c r="K57" s="240">
        <f t="shared" si="11"/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/>
      <c r="R57" s="240">
        <f t="shared" si="2"/>
        <v>23081453</v>
      </c>
    </row>
    <row r="58" spans="1:18" s="58" customFormat="1" ht="78.75">
      <c r="A58" s="280"/>
      <c r="B58" s="234" t="s">
        <v>372</v>
      </c>
      <c r="C58" s="234" t="s">
        <v>373</v>
      </c>
      <c r="D58" s="236"/>
      <c r="E58" s="227" t="s">
        <v>374</v>
      </c>
      <c r="F58" s="240">
        <f t="shared" si="1"/>
        <v>410547</v>
      </c>
      <c r="G58" s="232">
        <v>410547</v>
      </c>
      <c r="H58" s="232">
        <v>0</v>
      </c>
      <c r="I58" s="232">
        <v>0</v>
      </c>
      <c r="J58" s="232">
        <v>0</v>
      </c>
      <c r="K58" s="240">
        <f t="shared" si="11"/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/>
      <c r="R58" s="240">
        <f t="shared" si="2"/>
        <v>410547</v>
      </c>
    </row>
    <row r="59" spans="1:18" s="58" customFormat="1" ht="34.5" customHeight="1">
      <c r="A59" s="280" t="s">
        <v>422</v>
      </c>
      <c r="B59" s="237" t="s">
        <v>262</v>
      </c>
      <c r="C59" s="237" t="s">
        <v>16</v>
      </c>
      <c r="D59" s="238" t="s">
        <v>146</v>
      </c>
      <c r="E59" s="231" t="s">
        <v>272</v>
      </c>
      <c r="F59" s="240">
        <f t="shared" si="1"/>
        <v>33500</v>
      </c>
      <c r="G59" s="233">
        <v>33500</v>
      </c>
      <c r="H59" s="233">
        <v>0</v>
      </c>
      <c r="I59" s="233">
        <v>0</v>
      </c>
      <c r="J59" s="233">
        <v>0</v>
      </c>
      <c r="K59" s="240">
        <f t="shared" si="11"/>
        <v>0</v>
      </c>
      <c r="L59" s="233">
        <v>0</v>
      </c>
      <c r="M59" s="233">
        <v>0</v>
      </c>
      <c r="N59" s="233">
        <v>0</v>
      </c>
      <c r="O59" s="233">
        <v>0</v>
      </c>
      <c r="P59" s="233">
        <v>0</v>
      </c>
      <c r="Q59" s="233"/>
      <c r="R59" s="240">
        <f t="shared" si="2"/>
        <v>33500</v>
      </c>
    </row>
    <row r="60" spans="1:18" s="58" customFormat="1" ht="78.75">
      <c r="A60" s="280" t="s">
        <v>422</v>
      </c>
      <c r="B60" s="237" t="s">
        <v>274</v>
      </c>
      <c r="C60" s="237" t="s">
        <v>273</v>
      </c>
      <c r="D60" s="238" t="s">
        <v>80</v>
      </c>
      <c r="E60" s="231" t="s">
        <v>17</v>
      </c>
      <c r="F60" s="240">
        <f t="shared" si="1"/>
        <v>377047</v>
      </c>
      <c r="G60" s="233">
        <v>377047</v>
      </c>
      <c r="H60" s="233">
        <v>0</v>
      </c>
      <c r="I60" s="233">
        <v>0</v>
      </c>
      <c r="J60" s="233">
        <v>0</v>
      </c>
      <c r="K60" s="240">
        <f t="shared" si="11"/>
        <v>0</v>
      </c>
      <c r="L60" s="233">
        <v>0</v>
      </c>
      <c r="M60" s="233">
        <v>0</v>
      </c>
      <c r="N60" s="233">
        <v>0</v>
      </c>
      <c r="O60" s="233">
        <v>0</v>
      </c>
      <c r="P60" s="233">
        <v>0</v>
      </c>
      <c r="Q60" s="233"/>
      <c r="R60" s="240">
        <f t="shared" si="2"/>
        <v>377047</v>
      </c>
    </row>
    <row r="61" spans="1:18" s="58" customFormat="1" ht="94.5">
      <c r="A61" s="280"/>
      <c r="B61" s="234" t="s">
        <v>375</v>
      </c>
      <c r="C61" s="234" t="s">
        <v>376</v>
      </c>
      <c r="D61" s="236"/>
      <c r="E61" s="227" t="s">
        <v>377</v>
      </c>
      <c r="F61" s="240">
        <f t="shared" si="1"/>
        <v>133000</v>
      </c>
      <c r="G61" s="232">
        <v>133000</v>
      </c>
      <c r="H61" s="232">
        <v>0</v>
      </c>
      <c r="I61" s="232">
        <v>0</v>
      </c>
      <c r="J61" s="232">
        <v>0</v>
      </c>
      <c r="K61" s="240">
        <f t="shared" si="11"/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/>
      <c r="R61" s="240">
        <f t="shared" si="2"/>
        <v>133000</v>
      </c>
    </row>
    <row r="62" spans="1:18" s="58" customFormat="1" ht="48" customHeight="1">
      <c r="A62" s="280" t="s">
        <v>422</v>
      </c>
      <c r="B62" s="237" t="s">
        <v>263</v>
      </c>
      <c r="C62" s="237" t="s">
        <v>18</v>
      </c>
      <c r="D62" s="238" t="s">
        <v>146</v>
      </c>
      <c r="E62" s="231" t="s">
        <v>275</v>
      </c>
      <c r="F62" s="240">
        <f t="shared" si="1"/>
        <v>31600</v>
      </c>
      <c r="G62" s="233">
        <v>31600</v>
      </c>
      <c r="H62" s="233">
        <v>0</v>
      </c>
      <c r="I62" s="233">
        <v>0</v>
      </c>
      <c r="J62" s="233">
        <v>0</v>
      </c>
      <c r="K62" s="240">
        <f t="shared" si="11"/>
        <v>0</v>
      </c>
      <c r="L62" s="233">
        <v>0</v>
      </c>
      <c r="M62" s="233">
        <v>0</v>
      </c>
      <c r="N62" s="233">
        <v>0</v>
      </c>
      <c r="O62" s="233">
        <v>0</v>
      </c>
      <c r="P62" s="233">
        <v>0</v>
      </c>
      <c r="Q62" s="233"/>
      <c r="R62" s="240">
        <f t="shared" si="2"/>
        <v>31600</v>
      </c>
    </row>
    <row r="63" spans="1:18" s="58" customFormat="1" ht="31.5">
      <c r="A63" s="280" t="s">
        <v>422</v>
      </c>
      <c r="B63" s="237" t="s">
        <v>277</v>
      </c>
      <c r="C63" s="237" t="s">
        <v>276</v>
      </c>
      <c r="D63" s="238" t="s">
        <v>14</v>
      </c>
      <c r="E63" s="231" t="s">
        <v>19</v>
      </c>
      <c r="F63" s="240">
        <f t="shared" si="1"/>
        <v>101400</v>
      </c>
      <c r="G63" s="233">
        <v>101400</v>
      </c>
      <c r="H63" s="233">
        <v>0</v>
      </c>
      <c r="I63" s="233">
        <v>0</v>
      </c>
      <c r="J63" s="233">
        <v>0</v>
      </c>
      <c r="K63" s="240">
        <f t="shared" si="11"/>
        <v>0</v>
      </c>
      <c r="L63" s="233">
        <v>0</v>
      </c>
      <c r="M63" s="233">
        <v>0</v>
      </c>
      <c r="N63" s="233">
        <v>0</v>
      </c>
      <c r="O63" s="233">
        <v>0</v>
      </c>
      <c r="P63" s="233">
        <v>0</v>
      </c>
      <c r="Q63" s="233"/>
      <c r="R63" s="240">
        <f t="shared" si="2"/>
        <v>101400</v>
      </c>
    </row>
    <row r="64" spans="1:18" s="58" customFormat="1" ht="63" customHeight="1">
      <c r="A64" s="280"/>
      <c r="B64" s="234" t="s">
        <v>378</v>
      </c>
      <c r="C64" s="234" t="s">
        <v>379</v>
      </c>
      <c r="D64" s="236"/>
      <c r="E64" s="227" t="s">
        <v>380</v>
      </c>
      <c r="F64" s="240">
        <f t="shared" si="1"/>
        <v>17537447</v>
      </c>
      <c r="G64" s="232">
        <v>17537447</v>
      </c>
      <c r="H64" s="232">
        <v>0</v>
      </c>
      <c r="I64" s="232">
        <v>0</v>
      </c>
      <c r="J64" s="232">
        <v>0</v>
      </c>
      <c r="K64" s="240">
        <f t="shared" si="11"/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/>
      <c r="R64" s="240">
        <f t="shared" si="2"/>
        <v>17537447</v>
      </c>
    </row>
    <row r="65" spans="1:18" s="58" customFormat="1" ht="32.25" customHeight="1">
      <c r="A65" s="280" t="s">
        <v>422</v>
      </c>
      <c r="B65" s="237" t="s">
        <v>264</v>
      </c>
      <c r="C65" s="237" t="s">
        <v>27</v>
      </c>
      <c r="D65" s="238" t="s">
        <v>123</v>
      </c>
      <c r="E65" s="231" t="s">
        <v>20</v>
      </c>
      <c r="F65" s="240">
        <f t="shared" si="1"/>
        <v>143694</v>
      </c>
      <c r="G65" s="233">
        <v>143694</v>
      </c>
      <c r="H65" s="233">
        <v>0</v>
      </c>
      <c r="I65" s="233">
        <v>0</v>
      </c>
      <c r="J65" s="233">
        <v>0</v>
      </c>
      <c r="K65" s="240">
        <f t="shared" si="11"/>
        <v>0</v>
      </c>
      <c r="L65" s="233">
        <v>0</v>
      </c>
      <c r="M65" s="233">
        <v>0</v>
      </c>
      <c r="N65" s="233">
        <v>0</v>
      </c>
      <c r="O65" s="233">
        <v>0</v>
      </c>
      <c r="P65" s="233">
        <v>0</v>
      </c>
      <c r="Q65" s="233"/>
      <c r="R65" s="240">
        <f t="shared" si="2"/>
        <v>143694</v>
      </c>
    </row>
    <row r="66" spans="1:18" ht="31.5">
      <c r="A66" s="277" t="s">
        <v>422</v>
      </c>
      <c r="B66" s="237" t="s">
        <v>265</v>
      </c>
      <c r="C66" s="237" t="s">
        <v>28</v>
      </c>
      <c r="D66" s="238" t="s">
        <v>123</v>
      </c>
      <c r="E66" s="231" t="s">
        <v>25</v>
      </c>
      <c r="F66" s="240">
        <f t="shared" si="1"/>
        <v>21500</v>
      </c>
      <c r="G66" s="233">
        <v>21500</v>
      </c>
      <c r="H66" s="233">
        <v>0</v>
      </c>
      <c r="I66" s="233">
        <v>0</v>
      </c>
      <c r="J66" s="233">
        <v>0</v>
      </c>
      <c r="K66" s="240">
        <f t="shared" si="11"/>
        <v>0</v>
      </c>
      <c r="L66" s="233">
        <v>0</v>
      </c>
      <c r="M66" s="233">
        <v>0</v>
      </c>
      <c r="N66" s="233">
        <v>0</v>
      </c>
      <c r="O66" s="233">
        <v>0</v>
      </c>
      <c r="P66" s="233">
        <v>0</v>
      </c>
      <c r="Q66" s="233"/>
      <c r="R66" s="240">
        <f t="shared" si="2"/>
        <v>21500</v>
      </c>
    </row>
    <row r="67" spans="1:18" ht="31.5">
      <c r="A67" s="277" t="s">
        <v>422</v>
      </c>
      <c r="B67" s="237" t="s">
        <v>266</v>
      </c>
      <c r="C67" s="237" t="s">
        <v>29</v>
      </c>
      <c r="D67" s="238" t="s">
        <v>123</v>
      </c>
      <c r="E67" s="231" t="s">
        <v>21</v>
      </c>
      <c r="F67" s="240">
        <f t="shared" si="1"/>
        <v>8503392</v>
      </c>
      <c r="G67" s="233">
        <v>8503392</v>
      </c>
      <c r="H67" s="233">
        <v>0</v>
      </c>
      <c r="I67" s="233">
        <v>0</v>
      </c>
      <c r="J67" s="233">
        <v>0</v>
      </c>
      <c r="K67" s="240">
        <f t="shared" si="11"/>
        <v>0</v>
      </c>
      <c r="L67" s="233">
        <v>0</v>
      </c>
      <c r="M67" s="233">
        <v>0</v>
      </c>
      <c r="N67" s="233">
        <v>0</v>
      </c>
      <c r="O67" s="233">
        <v>0</v>
      </c>
      <c r="P67" s="233">
        <v>0</v>
      </c>
      <c r="Q67" s="233"/>
      <c r="R67" s="240">
        <f t="shared" si="2"/>
        <v>8503392</v>
      </c>
    </row>
    <row r="68" spans="1:18" ht="47.25">
      <c r="A68" s="277" t="s">
        <v>422</v>
      </c>
      <c r="B68" s="237" t="s">
        <v>267</v>
      </c>
      <c r="C68" s="237" t="s">
        <v>30</v>
      </c>
      <c r="D68" s="238" t="s">
        <v>123</v>
      </c>
      <c r="E68" s="231" t="s">
        <v>22</v>
      </c>
      <c r="F68" s="240">
        <f t="shared" si="1"/>
        <v>374520</v>
      </c>
      <c r="G68" s="233">
        <v>374520</v>
      </c>
      <c r="H68" s="233">
        <v>0</v>
      </c>
      <c r="I68" s="233">
        <v>0</v>
      </c>
      <c r="J68" s="233">
        <v>0</v>
      </c>
      <c r="K68" s="240">
        <f t="shared" si="11"/>
        <v>0</v>
      </c>
      <c r="L68" s="233">
        <v>0</v>
      </c>
      <c r="M68" s="233">
        <v>0</v>
      </c>
      <c r="N68" s="233">
        <v>0</v>
      </c>
      <c r="O68" s="233">
        <v>0</v>
      </c>
      <c r="P68" s="233">
        <v>0</v>
      </c>
      <c r="Q68" s="233"/>
      <c r="R68" s="240">
        <f t="shared" si="2"/>
        <v>374520</v>
      </c>
    </row>
    <row r="69" spans="1:18" ht="31.5">
      <c r="A69" s="277" t="s">
        <v>422</v>
      </c>
      <c r="B69" s="237" t="s">
        <v>268</v>
      </c>
      <c r="C69" s="237" t="s">
        <v>31</v>
      </c>
      <c r="D69" s="238" t="s">
        <v>123</v>
      </c>
      <c r="E69" s="231" t="s">
        <v>23</v>
      </c>
      <c r="F69" s="240">
        <f t="shared" si="1"/>
        <v>3970680</v>
      </c>
      <c r="G69" s="233">
        <v>3970680</v>
      </c>
      <c r="H69" s="233">
        <v>0</v>
      </c>
      <c r="I69" s="233">
        <v>0</v>
      </c>
      <c r="J69" s="233">
        <v>0</v>
      </c>
      <c r="K69" s="240">
        <f t="shared" si="11"/>
        <v>0</v>
      </c>
      <c r="L69" s="233">
        <v>0</v>
      </c>
      <c r="M69" s="233">
        <v>0</v>
      </c>
      <c r="N69" s="233">
        <v>0</v>
      </c>
      <c r="O69" s="233">
        <v>0</v>
      </c>
      <c r="P69" s="233">
        <v>0</v>
      </c>
      <c r="Q69" s="233"/>
      <c r="R69" s="240">
        <f t="shared" si="2"/>
        <v>3970680</v>
      </c>
    </row>
    <row r="70" spans="1:18" ht="31.5">
      <c r="A70" s="277" t="s">
        <v>422</v>
      </c>
      <c r="B70" s="237" t="s">
        <v>269</v>
      </c>
      <c r="C70" s="237" t="s">
        <v>32</v>
      </c>
      <c r="D70" s="238" t="s">
        <v>123</v>
      </c>
      <c r="E70" s="231" t="s">
        <v>24</v>
      </c>
      <c r="F70" s="240">
        <f t="shared" si="1"/>
        <v>10342</v>
      </c>
      <c r="G70" s="233">
        <v>10342</v>
      </c>
      <c r="H70" s="233">
        <v>0</v>
      </c>
      <c r="I70" s="233">
        <v>0</v>
      </c>
      <c r="J70" s="233">
        <v>0</v>
      </c>
      <c r="K70" s="240">
        <f t="shared" si="11"/>
        <v>0</v>
      </c>
      <c r="L70" s="233">
        <v>0</v>
      </c>
      <c r="M70" s="233">
        <v>0</v>
      </c>
      <c r="N70" s="233">
        <v>0</v>
      </c>
      <c r="O70" s="233">
        <v>0</v>
      </c>
      <c r="P70" s="233">
        <v>0</v>
      </c>
      <c r="Q70" s="233"/>
      <c r="R70" s="240">
        <f t="shared" si="2"/>
        <v>10342</v>
      </c>
    </row>
    <row r="71" spans="1:18" ht="47.25">
      <c r="A71" s="277" t="s">
        <v>422</v>
      </c>
      <c r="B71" s="237" t="s">
        <v>270</v>
      </c>
      <c r="C71" s="237" t="s">
        <v>33</v>
      </c>
      <c r="D71" s="238" t="s">
        <v>123</v>
      </c>
      <c r="E71" s="231" t="s">
        <v>26</v>
      </c>
      <c r="F71" s="240">
        <f t="shared" si="1"/>
        <v>4513319</v>
      </c>
      <c r="G71" s="233">
        <v>4513319</v>
      </c>
      <c r="H71" s="233">
        <v>0</v>
      </c>
      <c r="I71" s="233">
        <v>0</v>
      </c>
      <c r="J71" s="233">
        <v>0</v>
      </c>
      <c r="K71" s="240">
        <f t="shared" si="11"/>
        <v>0</v>
      </c>
      <c r="L71" s="233">
        <v>0</v>
      </c>
      <c r="M71" s="233">
        <v>0</v>
      </c>
      <c r="N71" s="233">
        <v>0</v>
      </c>
      <c r="O71" s="233">
        <v>0</v>
      </c>
      <c r="P71" s="233">
        <v>0</v>
      </c>
      <c r="Q71" s="233"/>
      <c r="R71" s="240">
        <f t="shared" si="2"/>
        <v>4513319</v>
      </c>
    </row>
    <row r="72" spans="1:18" ht="273.75" customHeight="1">
      <c r="A72" s="277"/>
      <c r="B72" s="234" t="s">
        <v>381</v>
      </c>
      <c r="C72" s="234" t="s">
        <v>37</v>
      </c>
      <c r="D72" s="236"/>
      <c r="E72" s="227" t="s">
        <v>393</v>
      </c>
      <c r="F72" s="240">
        <f t="shared" si="1"/>
        <v>4358592</v>
      </c>
      <c r="G72" s="232">
        <v>4358592</v>
      </c>
      <c r="H72" s="232">
        <v>0</v>
      </c>
      <c r="I72" s="232">
        <v>0</v>
      </c>
      <c r="J72" s="232">
        <v>0</v>
      </c>
      <c r="K72" s="240">
        <f t="shared" si="11"/>
        <v>0</v>
      </c>
      <c r="L72" s="232">
        <v>0</v>
      </c>
      <c r="M72" s="232">
        <v>0</v>
      </c>
      <c r="N72" s="232">
        <v>0</v>
      </c>
      <c r="O72" s="232">
        <v>0</v>
      </c>
      <c r="P72" s="232">
        <v>0</v>
      </c>
      <c r="Q72" s="232"/>
      <c r="R72" s="240">
        <f t="shared" si="2"/>
        <v>4358592</v>
      </c>
    </row>
    <row r="73" spans="1:18" ht="47.25">
      <c r="A73" s="277" t="s">
        <v>422</v>
      </c>
      <c r="B73" s="237" t="s">
        <v>322</v>
      </c>
      <c r="C73" s="237" t="s">
        <v>323</v>
      </c>
      <c r="D73" s="238" t="s">
        <v>34</v>
      </c>
      <c r="E73" s="231" t="s">
        <v>324</v>
      </c>
      <c r="F73" s="240">
        <f t="shared" si="1"/>
        <v>3032012</v>
      </c>
      <c r="G73" s="233">
        <v>3032012</v>
      </c>
      <c r="H73" s="233">
        <v>0</v>
      </c>
      <c r="I73" s="233">
        <v>0</v>
      </c>
      <c r="J73" s="233">
        <v>0</v>
      </c>
      <c r="K73" s="240">
        <f t="shared" si="11"/>
        <v>0</v>
      </c>
      <c r="L73" s="233">
        <v>0</v>
      </c>
      <c r="M73" s="233">
        <v>0</v>
      </c>
      <c r="N73" s="233">
        <v>0</v>
      </c>
      <c r="O73" s="233">
        <v>0</v>
      </c>
      <c r="P73" s="233">
        <v>0</v>
      </c>
      <c r="Q73" s="233"/>
      <c r="R73" s="240">
        <f t="shared" si="2"/>
        <v>3032012</v>
      </c>
    </row>
    <row r="74" spans="1:18" ht="78.75">
      <c r="A74" s="277" t="s">
        <v>422</v>
      </c>
      <c r="B74" s="237" t="s">
        <v>382</v>
      </c>
      <c r="C74" s="237" t="s">
        <v>383</v>
      </c>
      <c r="D74" s="238" t="s">
        <v>34</v>
      </c>
      <c r="E74" s="231" t="s">
        <v>384</v>
      </c>
      <c r="F74" s="240">
        <f t="shared" si="1"/>
        <v>584150</v>
      </c>
      <c r="G74" s="233">
        <v>584150</v>
      </c>
      <c r="H74" s="233">
        <v>0</v>
      </c>
      <c r="I74" s="233">
        <v>0</v>
      </c>
      <c r="J74" s="233">
        <v>0</v>
      </c>
      <c r="K74" s="240">
        <f t="shared" si="11"/>
        <v>0</v>
      </c>
      <c r="L74" s="233">
        <v>0</v>
      </c>
      <c r="M74" s="233">
        <v>0</v>
      </c>
      <c r="N74" s="233">
        <v>0</v>
      </c>
      <c r="O74" s="233">
        <v>0</v>
      </c>
      <c r="P74" s="233">
        <v>0</v>
      </c>
      <c r="Q74" s="233"/>
      <c r="R74" s="240">
        <f t="shared" si="2"/>
        <v>584150</v>
      </c>
    </row>
    <row r="75" spans="1:18" ht="63">
      <c r="A75" s="277" t="s">
        <v>422</v>
      </c>
      <c r="B75" s="237" t="s">
        <v>320</v>
      </c>
      <c r="C75" s="237" t="s">
        <v>321</v>
      </c>
      <c r="D75" s="238" t="s">
        <v>34</v>
      </c>
      <c r="E75" s="231" t="s">
        <v>308</v>
      </c>
      <c r="F75" s="240">
        <f t="shared" si="1"/>
        <v>742430</v>
      </c>
      <c r="G75" s="233">
        <v>742430</v>
      </c>
      <c r="H75" s="233">
        <v>0</v>
      </c>
      <c r="I75" s="233">
        <v>0</v>
      </c>
      <c r="J75" s="233">
        <v>0</v>
      </c>
      <c r="K75" s="240">
        <f t="shared" si="11"/>
        <v>0</v>
      </c>
      <c r="L75" s="233">
        <v>0</v>
      </c>
      <c r="M75" s="233">
        <v>0</v>
      </c>
      <c r="N75" s="233">
        <v>0</v>
      </c>
      <c r="O75" s="233">
        <v>0</v>
      </c>
      <c r="P75" s="233">
        <v>0</v>
      </c>
      <c r="Q75" s="233"/>
      <c r="R75" s="240">
        <f t="shared" si="2"/>
        <v>742430</v>
      </c>
    </row>
    <row r="76" spans="1:18" ht="94.5">
      <c r="A76" s="277" t="s">
        <v>422</v>
      </c>
      <c r="B76" s="237" t="s">
        <v>271</v>
      </c>
      <c r="C76" s="237" t="s">
        <v>35</v>
      </c>
      <c r="D76" s="238" t="s">
        <v>135</v>
      </c>
      <c r="E76" s="231" t="s">
        <v>385</v>
      </c>
      <c r="F76" s="240">
        <f t="shared" si="1"/>
        <v>4519490</v>
      </c>
      <c r="G76" s="233">
        <v>4519490</v>
      </c>
      <c r="H76" s="233">
        <v>4350832</v>
      </c>
      <c r="I76" s="233">
        <v>77558</v>
      </c>
      <c r="J76" s="233">
        <v>0</v>
      </c>
      <c r="K76" s="240">
        <f t="shared" si="11"/>
        <v>254000</v>
      </c>
      <c r="L76" s="233">
        <v>55000</v>
      </c>
      <c r="M76" s="233">
        <v>38700</v>
      </c>
      <c r="N76" s="233">
        <v>0</v>
      </c>
      <c r="O76" s="233">
        <v>199000</v>
      </c>
      <c r="P76" s="233">
        <v>199000</v>
      </c>
      <c r="Q76" s="233">
        <v>199000</v>
      </c>
      <c r="R76" s="240">
        <f t="shared" si="2"/>
        <v>4773490</v>
      </c>
    </row>
    <row r="77" spans="1:18" ht="31.5">
      <c r="A77" s="277" t="s">
        <v>422</v>
      </c>
      <c r="B77" s="237" t="s">
        <v>278</v>
      </c>
      <c r="C77" s="237" t="s">
        <v>227</v>
      </c>
      <c r="D77" s="238" t="s">
        <v>123</v>
      </c>
      <c r="E77" s="231" t="s">
        <v>181</v>
      </c>
      <c r="F77" s="240">
        <f t="shared" si="1"/>
        <v>34890</v>
      </c>
      <c r="G77" s="233">
        <v>34890</v>
      </c>
      <c r="H77" s="233">
        <v>0</v>
      </c>
      <c r="I77" s="233">
        <v>0</v>
      </c>
      <c r="J77" s="233">
        <v>0</v>
      </c>
      <c r="K77" s="240">
        <f t="shared" si="11"/>
        <v>0</v>
      </c>
      <c r="L77" s="233">
        <v>0</v>
      </c>
      <c r="M77" s="233">
        <v>0</v>
      </c>
      <c r="N77" s="233">
        <v>0</v>
      </c>
      <c r="O77" s="233">
        <v>0</v>
      </c>
      <c r="P77" s="233">
        <v>0</v>
      </c>
      <c r="Q77" s="233"/>
      <c r="R77" s="240">
        <f t="shared" si="2"/>
        <v>34890</v>
      </c>
    </row>
    <row r="78" spans="1:18" ht="94.5">
      <c r="A78" s="277" t="s">
        <v>422</v>
      </c>
      <c r="B78" s="237" t="s">
        <v>334</v>
      </c>
      <c r="C78" s="237" t="s">
        <v>256</v>
      </c>
      <c r="D78" s="238" t="s">
        <v>123</v>
      </c>
      <c r="E78" s="231" t="s">
        <v>141</v>
      </c>
      <c r="F78" s="240">
        <f t="shared" si="1"/>
        <v>209500</v>
      </c>
      <c r="G78" s="233">
        <f>150000+49500+10000</f>
        <v>209500</v>
      </c>
      <c r="H78" s="232">
        <v>0</v>
      </c>
      <c r="I78" s="232">
        <v>0</v>
      </c>
      <c r="J78" s="232">
        <v>0</v>
      </c>
      <c r="K78" s="240">
        <f t="shared" si="11"/>
        <v>0</v>
      </c>
      <c r="L78" s="232">
        <v>0</v>
      </c>
      <c r="M78" s="232">
        <v>0</v>
      </c>
      <c r="N78" s="232">
        <v>0</v>
      </c>
      <c r="O78" s="232">
        <v>0</v>
      </c>
      <c r="P78" s="232">
        <v>0</v>
      </c>
      <c r="Q78" s="232"/>
      <c r="R78" s="240">
        <f t="shared" si="2"/>
        <v>209500</v>
      </c>
    </row>
    <row r="79" spans="1:18" ht="126">
      <c r="A79" s="277" t="s">
        <v>422</v>
      </c>
      <c r="B79" s="237" t="s">
        <v>279</v>
      </c>
      <c r="C79" s="237" t="s">
        <v>142</v>
      </c>
      <c r="D79" s="238" t="s">
        <v>34</v>
      </c>
      <c r="E79" s="231" t="s">
        <v>280</v>
      </c>
      <c r="F79" s="240">
        <f t="shared" si="1"/>
        <v>137099</v>
      </c>
      <c r="G79" s="233">
        <v>137099</v>
      </c>
      <c r="H79" s="232">
        <v>0</v>
      </c>
      <c r="I79" s="232">
        <v>0</v>
      </c>
      <c r="J79" s="232">
        <v>0</v>
      </c>
      <c r="K79" s="240">
        <f t="shared" si="11"/>
        <v>0</v>
      </c>
      <c r="L79" s="232">
        <v>0</v>
      </c>
      <c r="M79" s="232">
        <v>0</v>
      </c>
      <c r="N79" s="232">
        <v>0</v>
      </c>
      <c r="O79" s="232">
        <v>0</v>
      </c>
      <c r="P79" s="232">
        <v>0</v>
      </c>
      <c r="Q79" s="232"/>
      <c r="R79" s="240">
        <f t="shared" si="2"/>
        <v>137099</v>
      </c>
    </row>
    <row r="80" spans="1:18" ht="31.5">
      <c r="A80" s="277" t="s">
        <v>422</v>
      </c>
      <c r="B80" s="237" t="s">
        <v>325</v>
      </c>
      <c r="C80" s="237" t="s">
        <v>326</v>
      </c>
      <c r="D80" s="238" t="s">
        <v>146</v>
      </c>
      <c r="E80" s="231" t="s">
        <v>327</v>
      </c>
      <c r="F80" s="240">
        <f t="shared" si="1"/>
        <v>30500</v>
      </c>
      <c r="G80" s="233">
        <v>30500</v>
      </c>
      <c r="H80" s="233">
        <v>0</v>
      </c>
      <c r="I80" s="233">
        <v>0</v>
      </c>
      <c r="J80" s="233">
        <v>0</v>
      </c>
      <c r="K80" s="240">
        <f t="shared" si="11"/>
        <v>0</v>
      </c>
      <c r="L80" s="233">
        <v>0</v>
      </c>
      <c r="M80" s="233">
        <v>0</v>
      </c>
      <c r="N80" s="233">
        <v>0</v>
      </c>
      <c r="O80" s="233">
        <v>0</v>
      </c>
      <c r="P80" s="233">
        <v>0</v>
      </c>
      <c r="Q80" s="233"/>
      <c r="R80" s="240">
        <f t="shared" si="2"/>
        <v>30500</v>
      </c>
    </row>
    <row r="81" spans="1:18" ht="78.75">
      <c r="A81" s="277" t="s">
        <v>422</v>
      </c>
      <c r="B81" s="237" t="s">
        <v>282</v>
      </c>
      <c r="C81" s="237" t="s">
        <v>281</v>
      </c>
      <c r="D81" s="238" t="s">
        <v>146</v>
      </c>
      <c r="E81" s="231" t="s">
        <v>386</v>
      </c>
      <c r="F81" s="240">
        <f t="shared" si="1"/>
        <v>541275</v>
      </c>
      <c r="G81" s="233">
        <f>522675+5100+3900+9600</f>
        <v>541275</v>
      </c>
      <c r="H81" s="233">
        <v>0</v>
      </c>
      <c r="I81" s="233">
        <v>0</v>
      </c>
      <c r="J81" s="233">
        <v>0</v>
      </c>
      <c r="K81" s="240">
        <f t="shared" si="11"/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3"/>
      <c r="R81" s="240">
        <f t="shared" si="2"/>
        <v>541275</v>
      </c>
    </row>
    <row r="82" spans="1:18" ht="251.25" customHeight="1">
      <c r="A82" s="277" t="s">
        <v>422</v>
      </c>
      <c r="B82" s="237" t="s">
        <v>387</v>
      </c>
      <c r="C82" s="237" t="s">
        <v>255</v>
      </c>
      <c r="D82" s="238" t="s">
        <v>123</v>
      </c>
      <c r="E82" s="231" t="s">
        <v>254</v>
      </c>
      <c r="F82" s="240">
        <f t="shared" si="1"/>
        <v>1090374</v>
      </c>
      <c r="G82" s="233">
        <v>1090374</v>
      </c>
      <c r="H82" s="232">
        <v>0</v>
      </c>
      <c r="I82" s="232">
        <v>0</v>
      </c>
      <c r="J82" s="232">
        <v>0</v>
      </c>
      <c r="K82" s="240">
        <f t="shared" si="11"/>
        <v>0</v>
      </c>
      <c r="L82" s="232">
        <v>0</v>
      </c>
      <c r="M82" s="232">
        <v>0</v>
      </c>
      <c r="N82" s="232">
        <v>0</v>
      </c>
      <c r="O82" s="232">
        <v>0</v>
      </c>
      <c r="P82" s="232">
        <v>0</v>
      </c>
      <c r="Q82" s="232"/>
      <c r="R82" s="240">
        <f>F82+K82</f>
        <v>1090374</v>
      </c>
    </row>
    <row r="83" spans="1:18" ht="67.5" customHeight="1">
      <c r="A83" s="277" t="s">
        <v>43</v>
      </c>
      <c r="B83" s="237" t="s">
        <v>406</v>
      </c>
      <c r="C83" s="237">
        <v>9800</v>
      </c>
      <c r="D83" s="261" t="s">
        <v>134</v>
      </c>
      <c r="E83" s="260" t="s">
        <v>405</v>
      </c>
      <c r="F83" s="240">
        <f t="shared" si="1"/>
        <v>187392</v>
      </c>
      <c r="G83" s="233">
        <v>187392</v>
      </c>
      <c r="H83" s="232"/>
      <c r="I83" s="232"/>
      <c r="J83" s="232"/>
      <c r="K83" s="240"/>
      <c r="L83" s="232"/>
      <c r="M83" s="232"/>
      <c r="N83" s="232"/>
      <c r="O83" s="232"/>
      <c r="P83" s="232"/>
      <c r="Q83" s="232"/>
      <c r="R83" s="240">
        <f>F83+K83</f>
        <v>187392</v>
      </c>
    </row>
    <row r="84" spans="1:18" ht="52.5" customHeight="1">
      <c r="A84" s="277"/>
      <c r="B84" s="234" t="s">
        <v>5</v>
      </c>
      <c r="C84" s="235"/>
      <c r="D84" s="236"/>
      <c r="E84" s="227" t="s">
        <v>394</v>
      </c>
      <c r="F84" s="240">
        <f>G84+J84+F88</f>
        <v>461610</v>
      </c>
      <c r="G84" s="232">
        <f>G85</f>
        <v>199912</v>
      </c>
      <c r="H84" s="232">
        <v>0</v>
      </c>
      <c r="I84" s="232">
        <v>0</v>
      </c>
      <c r="J84" s="232">
        <v>0</v>
      </c>
      <c r="K84" s="240">
        <f>L84+O84</f>
        <v>0</v>
      </c>
      <c r="L84" s="232">
        <v>0</v>
      </c>
      <c r="M84" s="232">
        <v>0</v>
      </c>
      <c r="N84" s="232">
        <v>0</v>
      </c>
      <c r="O84" s="232">
        <v>0</v>
      </c>
      <c r="P84" s="232">
        <v>0</v>
      </c>
      <c r="Q84" s="232"/>
      <c r="R84" s="240">
        <f t="shared" si="2"/>
        <v>461610</v>
      </c>
    </row>
    <row r="85" spans="1:18" ht="51.75" customHeight="1">
      <c r="A85" s="277"/>
      <c r="B85" s="234" t="s">
        <v>388</v>
      </c>
      <c r="C85" s="235"/>
      <c r="D85" s="236"/>
      <c r="E85" s="227" t="s">
        <v>394</v>
      </c>
      <c r="F85" s="240">
        <f>G85+J85+F88</f>
        <v>461610</v>
      </c>
      <c r="G85" s="232">
        <f>G86+G87</f>
        <v>199912</v>
      </c>
      <c r="H85" s="232">
        <v>0</v>
      </c>
      <c r="I85" s="232">
        <v>0</v>
      </c>
      <c r="J85" s="232">
        <v>0</v>
      </c>
      <c r="K85" s="240">
        <f>L85+O85</f>
        <v>0</v>
      </c>
      <c r="L85" s="232">
        <v>0</v>
      </c>
      <c r="M85" s="232">
        <v>0</v>
      </c>
      <c r="N85" s="232">
        <v>0</v>
      </c>
      <c r="O85" s="232">
        <v>0</v>
      </c>
      <c r="P85" s="232">
        <v>0</v>
      </c>
      <c r="Q85" s="232"/>
      <c r="R85" s="240">
        <f>F85+K85</f>
        <v>461610</v>
      </c>
    </row>
    <row r="86" spans="1:18" ht="31.5">
      <c r="A86" s="277" t="s">
        <v>422</v>
      </c>
      <c r="B86" s="237" t="s">
        <v>6</v>
      </c>
      <c r="C86" s="237" t="s">
        <v>134</v>
      </c>
      <c r="D86" s="238" t="s">
        <v>132</v>
      </c>
      <c r="E86" s="231" t="s">
        <v>246</v>
      </c>
      <c r="F86" s="240">
        <f>G86+J86</f>
        <v>12520</v>
      </c>
      <c r="G86" s="233">
        <v>12520</v>
      </c>
      <c r="H86" s="232">
        <v>0</v>
      </c>
      <c r="I86" s="232">
        <v>0</v>
      </c>
      <c r="J86" s="232">
        <v>0</v>
      </c>
      <c r="K86" s="240">
        <f>L86+O86</f>
        <v>0</v>
      </c>
      <c r="L86" s="232">
        <v>0</v>
      </c>
      <c r="M86" s="232">
        <v>0</v>
      </c>
      <c r="N86" s="232">
        <v>0</v>
      </c>
      <c r="O86" s="232">
        <v>0</v>
      </c>
      <c r="P86" s="232">
        <v>0</v>
      </c>
      <c r="Q86" s="232"/>
      <c r="R86" s="240">
        <f>F86+K86</f>
        <v>12520</v>
      </c>
    </row>
    <row r="87" spans="1:18" ht="66.75" customHeight="1">
      <c r="A87" s="277" t="s">
        <v>43</v>
      </c>
      <c r="B87" s="237" t="s">
        <v>407</v>
      </c>
      <c r="C87" s="237" t="s">
        <v>408</v>
      </c>
      <c r="D87" s="238" t="s">
        <v>134</v>
      </c>
      <c r="E87" s="260" t="s">
        <v>405</v>
      </c>
      <c r="F87" s="240">
        <f>G87+J87</f>
        <v>187392</v>
      </c>
      <c r="G87" s="233">
        <v>187392</v>
      </c>
      <c r="H87" s="232"/>
      <c r="I87" s="232"/>
      <c r="J87" s="232"/>
      <c r="K87" s="240"/>
      <c r="L87" s="232"/>
      <c r="M87" s="232"/>
      <c r="N87" s="232"/>
      <c r="O87" s="232"/>
      <c r="P87" s="232"/>
      <c r="Q87" s="232"/>
      <c r="R87" s="240">
        <f>F87+K87</f>
        <v>187392</v>
      </c>
    </row>
    <row r="88" spans="2:18" ht="18.75">
      <c r="B88" s="237">
        <v>3718700</v>
      </c>
      <c r="C88" s="237" t="s">
        <v>3</v>
      </c>
      <c r="D88" s="238" t="s">
        <v>132</v>
      </c>
      <c r="E88" s="231" t="s">
        <v>389</v>
      </c>
      <c r="F88" s="240">
        <f>1068117-286512-235807-28360-10000-5000-25500-12000-203240</f>
        <v>261698</v>
      </c>
      <c r="G88" s="232">
        <v>0</v>
      </c>
      <c r="H88" s="232">
        <v>0</v>
      </c>
      <c r="I88" s="232">
        <v>0</v>
      </c>
      <c r="J88" s="232">
        <v>0</v>
      </c>
      <c r="K88" s="240">
        <f>L88+O88</f>
        <v>0</v>
      </c>
      <c r="L88" s="232">
        <v>0</v>
      </c>
      <c r="M88" s="232">
        <v>0</v>
      </c>
      <c r="N88" s="232">
        <v>0</v>
      </c>
      <c r="O88" s="232">
        <v>0</v>
      </c>
      <c r="P88" s="232">
        <v>0</v>
      </c>
      <c r="Q88" s="232"/>
      <c r="R88" s="240">
        <f>F88+K88</f>
        <v>261698</v>
      </c>
    </row>
    <row r="89" spans="2:18" ht="18.75">
      <c r="B89" s="242"/>
      <c r="C89" s="243" t="s">
        <v>390</v>
      </c>
      <c r="D89" s="244"/>
      <c r="E89" s="245" t="s">
        <v>52</v>
      </c>
      <c r="F89" s="240">
        <f>F13+F17+F43+F52+F84</f>
        <v>154005445.82999998</v>
      </c>
      <c r="G89" s="240">
        <f>G13+G17+G43+G84+G52</f>
        <v>151885183.86</v>
      </c>
      <c r="H89" s="240">
        <f>H13+H17+H43+H84+H52</f>
        <v>51085197</v>
      </c>
      <c r="I89" s="240">
        <f aca="true" t="shared" si="12" ref="I89:P89">I13+I17+I43+I84+I52</f>
        <v>6966383</v>
      </c>
      <c r="J89" s="240">
        <f t="shared" si="12"/>
        <v>1858563.97</v>
      </c>
      <c r="K89" s="240">
        <f t="shared" si="12"/>
        <v>15045305.370000001</v>
      </c>
      <c r="L89" s="240">
        <f t="shared" si="12"/>
        <v>449040</v>
      </c>
      <c r="M89" s="240">
        <f t="shared" si="12"/>
        <v>195440</v>
      </c>
      <c r="N89" s="240">
        <f t="shared" si="12"/>
        <v>0</v>
      </c>
      <c r="O89" s="240">
        <f t="shared" si="12"/>
        <v>14596265.370000001</v>
      </c>
      <c r="P89" s="240">
        <f t="shared" si="12"/>
        <v>14596265.370000001</v>
      </c>
      <c r="Q89" s="240">
        <f>Q13+Q17+Q43+Q84+Q52</f>
        <v>12383484</v>
      </c>
      <c r="R89" s="240">
        <f>F89+K89</f>
        <v>169050751.2</v>
      </c>
    </row>
    <row r="95" spans="6:13" ht="20.25">
      <c r="F95" s="246" t="s">
        <v>158</v>
      </c>
      <c r="G95" s="247"/>
      <c r="H95" s="247"/>
      <c r="I95" s="247"/>
      <c r="J95" s="248"/>
      <c r="K95" s="248"/>
      <c r="L95" s="248"/>
      <c r="M95" s="249" t="s">
        <v>159</v>
      </c>
    </row>
  </sheetData>
  <sheetProtection/>
  <mergeCells count="23">
    <mergeCell ref="D8:D11"/>
    <mergeCell ref="E8:E11"/>
    <mergeCell ref="F8:J8"/>
    <mergeCell ref="L9:L11"/>
    <mergeCell ref="G9:G11"/>
    <mergeCell ref="M9:N9"/>
    <mergeCell ref="O9:O11"/>
    <mergeCell ref="K8:Q8"/>
    <mergeCell ref="P9:Q9"/>
    <mergeCell ref="Q10:Q11"/>
    <mergeCell ref="K9:K11"/>
    <mergeCell ref="M10:M11"/>
    <mergeCell ref="N10:N11"/>
    <mergeCell ref="B6:R6"/>
    <mergeCell ref="H9:I9"/>
    <mergeCell ref="R8:R11"/>
    <mergeCell ref="H10:H11"/>
    <mergeCell ref="I10:I11"/>
    <mergeCell ref="C8:C11"/>
    <mergeCell ref="J9:J11"/>
    <mergeCell ref="B8:B11"/>
    <mergeCell ref="F9:F11"/>
    <mergeCell ref="P10:P11"/>
  </mergeCells>
  <printOptions horizontalCentered="1"/>
  <pageMargins left="0.3937007874015748" right="0.3937007874015748" top="0.984251968503937" bottom="0.3937007874015748" header="0.7874015748031497" footer="0"/>
  <pageSetup fitToHeight="9" fitToWidth="1" horizontalDpi="300" verticalDpi="300" orientation="landscape" paperSize="9" scale="49" r:id="rId1"/>
  <headerFooter alignWithMargins="0">
    <oddHeader>&amp;C&amp;P&amp;RПродовження додатка 3</oddHeader>
  </headerFooter>
  <rowBreaks count="2" manualBreakCount="2">
    <brk id="23" min="1" max="17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L56"/>
  <sheetViews>
    <sheetView showGridLines="0" showZeros="0" view="pageBreakPreview" zoomScale="70" zoomScaleNormal="75" zoomScaleSheetLayoutView="70" zoomScalePageLayoutView="0" workbookViewId="0" topLeftCell="M12">
      <selection activeCell="S24" sqref="S24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22.66015625" style="12" customWidth="1"/>
    <col min="5" max="5" width="31.66015625" style="12" customWidth="1"/>
    <col min="6" max="6" width="16.66015625" style="12" customWidth="1"/>
    <col min="7" max="7" width="17.83203125" style="15" customWidth="1"/>
    <col min="8" max="8" width="19.66015625" style="15" customWidth="1"/>
    <col min="9" max="9" width="15.5" style="15" customWidth="1"/>
    <col min="10" max="10" width="14.83203125" style="15" customWidth="1"/>
    <col min="11" max="11" width="14.83203125" style="15" hidden="1" customWidth="1"/>
    <col min="12" max="12" width="15.66015625" style="15" customWidth="1"/>
    <col min="13" max="13" width="14.83203125" style="15" customWidth="1"/>
    <col min="14" max="14" width="25.5" style="15" customWidth="1"/>
    <col min="15" max="18" width="17.5" style="15" customWidth="1"/>
    <col min="19" max="19" width="15.16015625" style="12" customWidth="1"/>
    <col min="20" max="20" width="16.66015625" style="12" hidden="1" customWidth="1"/>
    <col min="21" max="21" width="18.33203125" style="12" customWidth="1"/>
    <col min="22" max="22" width="19.5" style="12" customWidth="1"/>
    <col min="23" max="23" width="18.16015625" style="12" customWidth="1"/>
    <col min="24" max="24" width="19.66015625" style="12" customWidth="1"/>
    <col min="25" max="25" width="23.33203125" style="12" customWidth="1"/>
    <col min="26" max="26" width="18.66015625" style="12" customWidth="1"/>
    <col min="27" max="27" width="18.33203125" style="12" customWidth="1"/>
    <col min="28" max="28" width="21.33203125" style="12" customWidth="1"/>
    <col min="29" max="29" width="24.5" style="12" customWidth="1"/>
    <col min="30" max="30" width="21.33203125" style="12" customWidth="1"/>
    <col min="31" max="31" width="19.16015625" style="12" customWidth="1"/>
    <col min="32" max="32" width="19.33203125" style="12" customWidth="1"/>
    <col min="33" max="33" width="21.66015625" style="12" customWidth="1"/>
    <col min="34" max="34" width="19.33203125" style="12" customWidth="1"/>
    <col min="35" max="35" width="26.16015625" style="12" customWidth="1"/>
    <col min="36" max="36" width="37.33203125" style="12" customWidth="1"/>
    <col min="37" max="37" width="17.16015625" style="12" customWidth="1"/>
    <col min="38" max="38" width="20.16015625" style="12" customWidth="1"/>
    <col min="39" max="16384" width="9.16015625" style="12" customWidth="1"/>
  </cols>
  <sheetData>
    <row r="2" spans="15:17" ht="15.75">
      <c r="O2" s="60" t="s">
        <v>117</v>
      </c>
      <c r="P2" s="12"/>
      <c r="Q2" s="12"/>
    </row>
    <row r="3" spans="15:17" ht="15.75">
      <c r="O3" s="60" t="s">
        <v>108</v>
      </c>
      <c r="P3" s="12"/>
      <c r="Q3" s="12"/>
    </row>
    <row r="4" spans="15:17" ht="15.75">
      <c r="O4" s="60"/>
      <c r="P4" s="12"/>
      <c r="Q4" s="12"/>
    </row>
    <row r="5" spans="15:17" ht="15.75">
      <c r="O5" s="60" t="s">
        <v>109</v>
      </c>
      <c r="P5" s="12"/>
      <c r="Q5" s="12"/>
    </row>
    <row r="6" spans="4:6" ht="22.5" customHeight="1">
      <c r="D6" s="32"/>
      <c r="E6" s="32"/>
      <c r="F6" s="32"/>
    </row>
    <row r="7" spans="1:23" ht="67.5" customHeight="1">
      <c r="A7" s="10"/>
      <c r="B7" s="10"/>
      <c r="C7" s="10"/>
      <c r="D7" s="334" t="s">
        <v>298</v>
      </c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00"/>
      <c r="T7" s="301"/>
      <c r="U7" s="301"/>
      <c r="V7" s="301"/>
      <c r="W7" s="301"/>
    </row>
    <row r="8" spans="1:24" ht="18" customHeight="1">
      <c r="A8" s="10"/>
      <c r="B8" s="10"/>
      <c r="C8" s="10"/>
      <c r="D8" s="10"/>
      <c r="G8" s="3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6"/>
      <c r="X8" s="35" t="s">
        <v>157</v>
      </c>
    </row>
    <row r="9" spans="1:24" s="47" customFormat="1" ht="48" customHeight="1">
      <c r="A9" s="44" t="s">
        <v>66</v>
      </c>
      <c r="B9" s="45" t="s">
        <v>43</v>
      </c>
      <c r="C9" s="46">
        <v>0</v>
      </c>
      <c r="D9" s="337" t="s">
        <v>59</v>
      </c>
      <c r="E9" s="337" t="s">
        <v>60</v>
      </c>
      <c r="F9" s="215" t="s">
        <v>336</v>
      </c>
      <c r="G9" s="335" t="s">
        <v>172</v>
      </c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25"/>
      <c r="S9" s="297"/>
      <c r="T9" s="298"/>
      <c r="U9" s="298"/>
      <c r="V9" s="298"/>
      <c r="W9" s="299"/>
      <c r="X9" s="81" t="s">
        <v>51</v>
      </c>
    </row>
    <row r="10" spans="1:24" s="47" customFormat="1" ht="30.75" customHeight="1">
      <c r="A10" s="44" t="s">
        <v>62</v>
      </c>
      <c r="B10" s="45" t="s">
        <v>43</v>
      </c>
      <c r="C10" s="46">
        <v>0</v>
      </c>
      <c r="D10" s="338"/>
      <c r="E10" s="338"/>
      <c r="F10" s="214"/>
      <c r="G10" s="332" t="s">
        <v>47</v>
      </c>
      <c r="H10" s="333"/>
      <c r="I10" s="333"/>
      <c r="J10" s="333"/>
      <c r="K10" s="333"/>
      <c r="L10" s="330"/>
      <c r="M10" s="330"/>
      <c r="N10" s="330"/>
      <c r="O10" s="330"/>
      <c r="P10" s="330"/>
      <c r="Q10" s="330"/>
      <c r="R10" s="331"/>
      <c r="S10" s="329" t="s">
        <v>48</v>
      </c>
      <c r="T10" s="330"/>
      <c r="U10" s="330"/>
      <c r="V10" s="330"/>
      <c r="W10" s="331"/>
      <c r="X10" s="172"/>
    </row>
    <row r="11" spans="1:24" s="47" customFormat="1" ht="279.75" customHeight="1">
      <c r="A11" s="44" t="s">
        <v>68</v>
      </c>
      <c r="B11" s="45" t="s">
        <v>43</v>
      </c>
      <c r="C11" s="46">
        <v>0</v>
      </c>
      <c r="D11" s="339"/>
      <c r="E11" s="339"/>
      <c r="F11" s="199" t="s">
        <v>337</v>
      </c>
      <c r="G11" s="147" t="s">
        <v>173</v>
      </c>
      <c r="H11" s="147" t="s">
        <v>1</v>
      </c>
      <c r="I11" s="147" t="s">
        <v>428</v>
      </c>
      <c r="J11" s="147" t="s">
        <v>439</v>
      </c>
      <c r="K11" s="147"/>
      <c r="L11" s="147" t="s">
        <v>423</v>
      </c>
      <c r="M11" s="262" t="s">
        <v>412</v>
      </c>
      <c r="N11" s="262" t="s">
        <v>438</v>
      </c>
      <c r="O11" s="148" t="s">
        <v>411</v>
      </c>
      <c r="P11" s="224" t="s">
        <v>456</v>
      </c>
      <c r="Q11" s="224" t="s">
        <v>465</v>
      </c>
      <c r="R11" s="302" t="s">
        <v>455</v>
      </c>
      <c r="S11" s="224" t="s">
        <v>173</v>
      </c>
      <c r="T11" s="200"/>
      <c r="U11" s="200" t="s">
        <v>331</v>
      </c>
      <c r="V11" s="281" t="s">
        <v>451</v>
      </c>
      <c r="W11" s="281" t="s">
        <v>450</v>
      </c>
      <c r="X11" s="80"/>
    </row>
    <row r="12" spans="1:24" ht="23.25" customHeight="1">
      <c r="A12" s="98" t="s">
        <v>61</v>
      </c>
      <c r="B12" s="99" t="s">
        <v>43</v>
      </c>
      <c r="C12" s="100">
        <v>0</v>
      </c>
      <c r="D12" s="101">
        <v>12308401000</v>
      </c>
      <c r="E12" s="102" t="s">
        <v>164</v>
      </c>
      <c r="F12" s="102"/>
      <c r="G12" s="79">
        <f>3769067+9324+29470</f>
        <v>3807861</v>
      </c>
      <c r="H12" s="79">
        <v>1640000</v>
      </c>
      <c r="I12" s="79"/>
      <c r="J12" s="79"/>
      <c r="K12" s="79"/>
      <c r="L12" s="79"/>
      <c r="M12" s="138">
        <v>70000</v>
      </c>
      <c r="N12" s="138"/>
      <c r="O12" s="138"/>
      <c r="P12" s="138"/>
      <c r="Q12" s="138">
        <v>200000</v>
      </c>
      <c r="R12" s="79">
        <v>30000</v>
      </c>
      <c r="S12" s="138">
        <v>103400</v>
      </c>
      <c r="T12" s="263"/>
      <c r="U12" s="263">
        <v>50000</v>
      </c>
      <c r="V12" s="154">
        <v>330000</v>
      </c>
      <c r="W12" s="154">
        <v>330000</v>
      </c>
      <c r="X12" s="131">
        <f>SUM(G12:W12)</f>
        <v>6561261</v>
      </c>
    </row>
    <row r="13" spans="1:24" ht="23.25" customHeight="1">
      <c r="A13" s="103" t="s">
        <v>63</v>
      </c>
      <c r="B13" s="99" t="s">
        <v>43</v>
      </c>
      <c r="C13" s="100">
        <v>0</v>
      </c>
      <c r="D13" s="101">
        <v>12308501000</v>
      </c>
      <c r="E13" s="102" t="s">
        <v>165</v>
      </c>
      <c r="F13" s="102"/>
      <c r="G13" s="79">
        <f>775000+77443+50000+5000</f>
        <v>907443</v>
      </c>
      <c r="H13" s="79"/>
      <c r="I13" s="282">
        <v>218563.97</v>
      </c>
      <c r="J13" s="79"/>
      <c r="K13" s="79"/>
      <c r="L13" s="79"/>
      <c r="M13" s="138"/>
      <c r="N13" s="138"/>
      <c r="O13" s="138"/>
      <c r="P13" s="138"/>
      <c r="Q13" s="138"/>
      <c r="R13" s="79"/>
      <c r="S13" s="138"/>
      <c r="T13" s="263"/>
      <c r="U13" s="263">
        <v>50000</v>
      </c>
      <c r="V13" s="154"/>
      <c r="W13" s="154"/>
      <c r="X13" s="131">
        <f aca="true" t="shared" si="0" ref="X13:X22">SUM(G13:W13)</f>
        <v>1176006.97</v>
      </c>
    </row>
    <row r="14" spans="1:24" ht="23.25" customHeight="1">
      <c r="A14" s="103" t="s">
        <v>65</v>
      </c>
      <c r="B14" s="99" t="s">
        <v>43</v>
      </c>
      <c r="C14" s="100">
        <v>0</v>
      </c>
      <c r="D14" s="101">
        <v>12308502000</v>
      </c>
      <c r="E14" s="102" t="s">
        <v>166</v>
      </c>
      <c r="F14" s="102"/>
      <c r="G14" s="79">
        <v>641587</v>
      </c>
      <c r="H14" s="79"/>
      <c r="I14" s="79"/>
      <c r="J14" s="79"/>
      <c r="K14" s="79"/>
      <c r="L14" s="79"/>
      <c r="M14" s="138"/>
      <c r="N14" s="138"/>
      <c r="O14" s="138"/>
      <c r="P14" s="138"/>
      <c r="Q14" s="138"/>
      <c r="R14" s="79"/>
      <c r="S14" s="138"/>
      <c r="T14" s="264"/>
      <c r="U14" s="264"/>
      <c r="V14" s="157"/>
      <c r="W14" s="157"/>
      <c r="X14" s="131">
        <f t="shared" si="0"/>
        <v>641587</v>
      </c>
    </row>
    <row r="15" spans="1:24" ht="23.25" customHeight="1">
      <c r="A15" s="103" t="s">
        <v>64</v>
      </c>
      <c r="B15" s="99" t="s">
        <v>43</v>
      </c>
      <c r="C15" s="100">
        <v>0</v>
      </c>
      <c r="D15" s="101">
        <v>12308503000</v>
      </c>
      <c r="E15" s="102" t="s">
        <v>167</v>
      </c>
      <c r="F15" s="102"/>
      <c r="G15" s="79">
        <f>1007162+20642+32624+12000+50000</f>
        <v>1122428</v>
      </c>
      <c r="H15" s="79"/>
      <c r="I15" s="79"/>
      <c r="J15" s="79"/>
      <c r="K15" s="79"/>
      <c r="L15" s="79"/>
      <c r="M15" s="138"/>
      <c r="N15" s="138"/>
      <c r="O15" s="138"/>
      <c r="P15" s="138"/>
      <c r="Q15" s="138"/>
      <c r="R15" s="79"/>
      <c r="S15" s="138"/>
      <c r="T15" s="263"/>
      <c r="U15" s="263"/>
      <c r="V15" s="154"/>
      <c r="W15" s="154"/>
      <c r="X15" s="131">
        <f t="shared" si="0"/>
        <v>1122428</v>
      </c>
    </row>
    <row r="16" spans="1:24" ht="23.25" customHeight="1">
      <c r="A16" s="104" t="s">
        <v>67</v>
      </c>
      <c r="B16" s="105" t="s">
        <v>43</v>
      </c>
      <c r="C16" s="100">
        <v>0</v>
      </c>
      <c r="D16" s="101">
        <v>12308504000</v>
      </c>
      <c r="E16" s="102" t="s">
        <v>168</v>
      </c>
      <c r="F16" s="102"/>
      <c r="G16" s="79">
        <v>536102</v>
      </c>
      <c r="H16" s="79"/>
      <c r="I16" s="79"/>
      <c r="J16" s="79"/>
      <c r="K16" s="79"/>
      <c r="L16" s="79"/>
      <c r="M16" s="138"/>
      <c r="N16" s="138"/>
      <c r="O16" s="138"/>
      <c r="P16" s="138"/>
      <c r="Q16" s="138"/>
      <c r="R16" s="79"/>
      <c r="S16" s="138"/>
      <c r="T16" s="263"/>
      <c r="U16" s="263"/>
      <c r="V16" s="154"/>
      <c r="W16" s="154"/>
      <c r="X16" s="131">
        <f t="shared" si="0"/>
        <v>536102</v>
      </c>
    </row>
    <row r="17" spans="1:24" ht="23.25" customHeight="1">
      <c r="A17" s="104">
        <v>10</v>
      </c>
      <c r="B17" s="105" t="s">
        <v>43</v>
      </c>
      <c r="C17" s="100">
        <v>0</v>
      </c>
      <c r="D17" s="106">
        <v>12308505000</v>
      </c>
      <c r="E17" s="107" t="s">
        <v>169</v>
      </c>
      <c r="F17" s="107">
        <v>21171</v>
      </c>
      <c r="G17" s="79"/>
      <c r="H17" s="79"/>
      <c r="I17" s="79"/>
      <c r="J17" s="79"/>
      <c r="K17" s="79"/>
      <c r="L17" s="79"/>
      <c r="M17" s="138"/>
      <c r="N17" s="138"/>
      <c r="O17" s="138"/>
      <c r="P17" s="138"/>
      <c r="Q17" s="138"/>
      <c r="R17" s="79"/>
      <c r="S17" s="138"/>
      <c r="T17" s="263"/>
      <c r="U17" s="263"/>
      <c r="V17" s="154"/>
      <c r="W17" s="154"/>
      <c r="X17" s="131">
        <f t="shared" si="0"/>
        <v>0</v>
      </c>
    </row>
    <row r="18" spans="1:24" ht="23.25" customHeight="1">
      <c r="A18" s="104">
        <v>11</v>
      </c>
      <c r="B18" s="105" t="s">
        <v>43</v>
      </c>
      <c r="C18" s="100">
        <v>0</v>
      </c>
      <c r="D18" s="101">
        <v>12308506000</v>
      </c>
      <c r="E18" s="108" t="s">
        <v>170</v>
      </c>
      <c r="F18" s="108"/>
      <c r="G18" s="79"/>
      <c r="H18" s="79"/>
      <c r="I18" s="79"/>
      <c r="J18" s="79">
        <v>60000</v>
      </c>
      <c r="K18" s="79"/>
      <c r="L18" s="79"/>
      <c r="M18" s="138"/>
      <c r="N18" s="138"/>
      <c r="O18" s="138"/>
      <c r="P18" s="138">
        <v>179589</v>
      </c>
      <c r="Q18" s="138"/>
      <c r="R18" s="79"/>
      <c r="S18" s="138"/>
      <c r="T18" s="263"/>
      <c r="U18" s="263"/>
      <c r="V18" s="154"/>
      <c r="W18" s="154"/>
      <c r="X18" s="131">
        <f t="shared" si="0"/>
        <v>239589</v>
      </c>
    </row>
    <row r="19" spans="1:24" ht="23.25" customHeight="1">
      <c r="A19" s="104">
        <v>12</v>
      </c>
      <c r="B19" s="105" t="s">
        <v>43</v>
      </c>
      <c r="C19" s="100">
        <v>0</v>
      </c>
      <c r="D19" s="101">
        <v>12308507000</v>
      </c>
      <c r="E19" s="102" t="s">
        <v>171</v>
      </c>
      <c r="F19" s="102"/>
      <c r="G19" s="79">
        <v>480000</v>
      </c>
      <c r="H19" s="79"/>
      <c r="I19" s="79"/>
      <c r="J19" s="79"/>
      <c r="K19" s="79"/>
      <c r="L19" s="79"/>
      <c r="M19" s="138"/>
      <c r="N19" s="138"/>
      <c r="O19" s="138"/>
      <c r="P19" s="138"/>
      <c r="Q19" s="138"/>
      <c r="R19" s="79"/>
      <c r="S19" s="138"/>
      <c r="T19" s="263"/>
      <c r="U19" s="263"/>
      <c r="V19" s="154"/>
      <c r="W19" s="154"/>
      <c r="X19" s="131">
        <f t="shared" si="0"/>
        <v>480000</v>
      </c>
    </row>
    <row r="20" spans="1:24" ht="37.5" customHeight="1">
      <c r="A20" s="104"/>
      <c r="B20" s="105"/>
      <c r="C20" s="100"/>
      <c r="D20" s="101">
        <v>12505000000</v>
      </c>
      <c r="E20" s="109" t="s">
        <v>424</v>
      </c>
      <c r="F20" s="109"/>
      <c r="G20" s="79"/>
      <c r="H20" s="79"/>
      <c r="I20" s="79"/>
      <c r="J20" s="79"/>
      <c r="K20" s="79"/>
      <c r="L20" s="79">
        <v>325000</v>
      </c>
      <c r="M20" s="138"/>
      <c r="N20" s="138"/>
      <c r="O20" s="138"/>
      <c r="P20" s="138"/>
      <c r="Q20" s="138"/>
      <c r="R20" s="79"/>
      <c r="S20" s="138"/>
      <c r="T20" s="263"/>
      <c r="U20" s="263"/>
      <c r="V20" s="154"/>
      <c r="W20" s="154"/>
      <c r="X20" s="131">
        <f t="shared" si="0"/>
        <v>325000</v>
      </c>
    </row>
    <row r="21" spans="1:24" ht="25.5" customHeight="1">
      <c r="A21" s="104"/>
      <c r="B21" s="105"/>
      <c r="C21" s="100"/>
      <c r="D21" s="101"/>
      <c r="E21" s="133" t="s">
        <v>202</v>
      </c>
      <c r="F21" s="133"/>
      <c r="G21" s="134"/>
      <c r="H21" s="134"/>
      <c r="I21" s="134"/>
      <c r="J21" s="134"/>
      <c r="K21" s="134"/>
      <c r="L21" s="134"/>
      <c r="M21" s="139"/>
      <c r="N21" s="139"/>
      <c r="O21" s="139">
        <v>648552</v>
      </c>
      <c r="P21" s="139"/>
      <c r="Q21" s="139"/>
      <c r="R21" s="134"/>
      <c r="S21" s="139"/>
      <c r="T21" s="265"/>
      <c r="U21" s="265"/>
      <c r="V21" s="155"/>
      <c r="W21" s="155"/>
      <c r="X21" s="131">
        <f t="shared" si="0"/>
        <v>648552</v>
      </c>
    </row>
    <row r="22" spans="1:24" ht="25.5" customHeight="1">
      <c r="A22" s="104"/>
      <c r="B22" s="105"/>
      <c r="C22" s="100"/>
      <c r="D22" s="101">
        <v>12100000000</v>
      </c>
      <c r="E22" s="133" t="s">
        <v>437</v>
      </c>
      <c r="F22" s="133"/>
      <c r="G22" s="134"/>
      <c r="H22" s="134"/>
      <c r="I22" s="134"/>
      <c r="J22" s="134"/>
      <c r="K22" s="134"/>
      <c r="L22" s="134"/>
      <c r="M22" s="139"/>
      <c r="N22" s="139">
        <v>2000000</v>
      </c>
      <c r="O22" s="139"/>
      <c r="P22" s="292"/>
      <c r="Q22" s="292"/>
      <c r="R22" s="265"/>
      <c r="S22" s="292"/>
      <c r="T22" s="265"/>
      <c r="U22" s="265"/>
      <c r="V22" s="155"/>
      <c r="W22" s="155"/>
      <c r="X22" s="131">
        <f t="shared" si="0"/>
        <v>2000000</v>
      </c>
    </row>
    <row r="23" spans="1:26" ht="39.75" customHeight="1">
      <c r="A23" s="103">
        <v>13</v>
      </c>
      <c r="B23" s="105" t="s">
        <v>43</v>
      </c>
      <c r="C23" s="100">
        <v>0</v>
      </c>
      <c r="D23" s="48"/>
      <c r="E23" s="48" t="s">
        <v>52</v>
      </c>
      <c r="F23" s="158">
        <f aca="true" t="shared" si="1" ref="F23:K23">SUM(F12:F20)</f>
        <v>21171</v>
      </c>
      <c r="G23" s="158">
        <f t="shared" si="1"/>
        <v>7495421</v>
      </c>
      <c r="H23" s="158">
        <f t="shared" si="1"/>
        <v>1640000</v>
      </c>
      <c r="I23" s="158">
        <f t="shared" si="1"/>
        <v>218563.97</v>
      </c>
      <c r="J23" s="158">
        <f t="shared" si="1"/>
        <v>60000</v>
      </c>
      <c r="K23" s="158">
        <f t="shared" si="1"/>
        <v>0</v>
      </c>
      <c r="L23" s="158">
        <f aca="true" t="shared" si="2" ref="L23:V23">SUM(L12:L21)</f>
        <v>325000</v>
      </c>
      <c r="M23" s="158">
        <f t="shared" si="2"/>
        <v>70000</v>
      </c>
      <c r="N23" s="158">
        <f>SUM(N12:N22)</f>
        <v>2000000</v>
      </c>
      <c r="O23" s="158">
        <f t="shared" si="2"/>
        <v>648552</v>
      </c>
      <c r="P23" s="158">
        <f t="shared" si="2"/>
        <v>179589</v>
      </c>
      <c r="Q23" s="158">
        <f t="shared" si="2"/>
        <v>200000</v>
      </c>
      <c r="R23" s="158">
        <f t="shared" si="2"/>
        <v>30000</v>
      </c>
      <c r="S23" s="225">
        <f t="shared" si="2"/>
        <v>103400</v>
      </c>
      <c r="T23" s="266">
        <f>SUM(T12:T22)</f>
        <v>0</v>
      </c>
      <c r="U23" s="266">
        <f t="shared" si="2"/>
        <v>100000</v>
      </c>
      <c r="V23" s="156">
        <f t="shared" si="2"/>
        <v>330000</v>
      </c>
      <c r="W23" s="156">
        <f>W12+W13+W14+W15+W16+W17+W18+W19+W20+W21</f>
        <v>330000</v>
      </c>
      <c r="X23" s="131">
        <f>SUM(G23:W23)</f>
        <v>13730525.97</v>
      </c>
      <c r="Z23" s="159">
        <f>X12+X13+X14+X16+X15+X18+X19+X20+X21+X22</f>
        <v>13730525.969999999</v>
      </c>
    </row>
    <row r="24" spans="1:38" s="18" customFormat="1" ht="31.5" customHeight="1">
      <c r="A24" s="11"/>
      <c r="B24" s="13"/>
      <c r="C24" s="13"/>
      <c r="D24" s="12"/>
      <c r="E24" s="12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2"/>
      <c r="T24" s="12"/>
      <c r="U24" s="12"/>
      <c r="V24" s="12"/>
      <c r="W24" s="12"/>
      <c r="X24" s="12"/>
      <c r="Y24" s="12"/>
      <c r="Z24" s="20">
        <f>'дод.3'!R41+'дод.3'!R40+'дод.3'!R38+'дод.3'!R39+'дод.3'!R42+'дод.3'!R83+'дод.3'!R87</f>
        <v>13751696.97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26" ht="12.75">
      <c r="A25" s="14"/>
      <c r="B25" s="19"/>
      <c r="C25" s="19"/>
      <c r="Z25" s="20">
        <f>X23+F23</f>
        <v>13751696.97</v>
      </c>
    </row>
    <row r="26" spans="1:38" s="20" customFormat="1" ht="12.75">
      <c r="A26" s="21"/>
      <c r="B26" s="22"/>
      <c r="C26" s="22"/>
      <c r="D26" s="12"/>
      <c r="T26" s="12"/>
      <c r="U26" s="12"/>
      <c r="V26" s="12"/>
      <c r="W26" s="12"/>
      <c r="X26" s="12"/>
      <c r="Y26" s="12"/>
      <c r="Z26" s="20">
        <f>Z24-Z25</f>
        <v>0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20" customFormat="1" ht="12.75">
      <c r="A27" s="21"/>
      <c r="B27" s="22"/>
      <c r="C27" s="22"/>
      <c r="D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20" customFormat="1" ht="18.75">
      <c r="A28" s="21"/>
      <c r="B28" s="22"/>
      <c r="C28" s="22"/>
      <c r="D28" s="12"/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6" t="s">
        <v>158</v>
      </c>
      <c r="T28" s="12"/>
      <c r="V28" s="12"/>
      <c r="W28" s="12"/>
      <c r="X28" s="78" t="s">
        <v>159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20" customFormat="1" ht="12.75">
      <c r="A29" s="21"/>
      <c r="B29" s="22"/>
      <c r="C29" s="22"/>
      <c r="D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" ht="12.75">
      <c r="A30" s="14"/>
      <c r="B30" s="19"/>
      <c r="C30" s="19"/>
    </row>
    <row r="31" spans="1:3" ht="12.75">
      <c r="A31" s="14"/>
      <c r="B31" s="19"/>
      <c r="C31" s="19"/>
    </row>
    <row r="32" spans="1:3" ht="12.75">
      <c r="A32" s="14"/>
      <c r="B32" s="19"/>
      <c r="C32" s="19"/>
    </row>
    <row r="33" spans="1:3" ht="12.75">
      <c r="A33" s="14"/>
      <c r="B33" s="19"/>
      <c r="C33" s="19"/>
    </row>
    <row r="34" spans="1:3" ht="12.75">
      <c r="A34" s="14"/>
      <c r="B34" s="19"/>
      <c r="C34" s="19"/>
    </row>
    <row r="35" spans="1:3" ht="12.75">
      <c r="A35" s="14"/>
      <c r="B35" s="19"/>
      <c r="C35" s="19"/>
    </row>
    <row r="36" spans="1:3" ht="12.75">
      <c r="A36" s="14"/>
      <c r="B36" s="19"/>
      <c r="C36" s="19"/>
    </row>
    <row r="37" spans="1:3" ht="12.75">
      <c r="A37" s="14"/>
      <c r="B37" s="19"/>
      <c r="C37" s="19"/>
    </row>
    <row r="38" spans="1:3" ht="12.75">
      <c r="A38" s="14"/>
      <c r="B38" s="19"/>
      <c r="C38" s="19"/>
    </row>
    <row r="39" spans="1:3" ht="12.75">
      <c r="A39" s="14"/>
      <c r="B39" s="19"/>
      <c r="C39" s="19"/>
    </row>
    <row r="40" spans="1:3" ht="12.75">
      <c r="A40" s="14"/>
      <c r="B40" s="19"/>
      <c r="C40" s="19"/>
    </row>
    <row r="41" spans="1:3" ht="12.75">
      <c r="A41" s="14"/>
      <c r="B41" s="19"/>
      <c r="C41" s="19"/>
    </row>
    <row r="42" spans="1:3" ht="12.75">
      <c r="A42" s="14"/>
      <c r="B42" s="19"/>
      <c r="C42" s="19"/>
    </row>
    <row r="43" spans="1:3" ht="12.75">
      <c r="A43" s="14"/>
      <c r="B43" s="19"/>
      <c r="C43" s="19"/>
    </row>
    <row r="44" spans="1:3" ht="12.75">
      <c r="A44" s="14"/>
      <c r="B44" s="19"/>
      <c r="C44" s="19"/>
    </row>
    <row r="45" spans="1:3" ht="12.75">
      <c r="A45" s="14"/>
      <c r="B45" s="19"/>
      <c r="C45" s="19"/>
    </row>
    <row r="46" spans="1:3" ht="12.75">
      <c r="A46" s="14"/>
      <c r="B46" s="19"/>
      <c r="C46" s="19"/>
    </row>
    <row r="47" spans="1:3" ht="12.75">
      <c r="A47" s="14"/>
      <c r="B47" s="19"/>
      <c r="C47" s="19"/>
    </row>
    <row r="48" spans="1:3" ht="12.75">
      <c r="A48" s="14"/>
      <c r="B48" s="19"/>
      <c r="C48" s="19"/>
    </row>
    <row r="49" spans="1:3" ht="12.75">
      <c r="A49" s="14"/>
      <c r="B49" s="19"/>
      <c r="C49" s="19"/>
    </row>
    <row r="50" spans="1:3" ht="12.75">
      <c r="A50" s="14"/>
      <c r="B50" s="19"/>
      <c r="C50" s="19"/>
    </row>
    <row r="51" spans="1:3" ht="12.75">
      <c r="A51" s="14"/>
      <c r="B51" s="19"/>
      <c r="C51" s="19"/>
    </row>
    <row r="52" spans="1:3" ht="12.75">
      <c r="A52" s="14"/>
      <c r="B52" s="19"/>
      <c r="C52" s="19"/>
    </row>
    <row r="53" ht="44.25" customHeight="1">
      <c r="A53" s="14"/>
    </row>
    <row r="54" ht="12.75">
      <c r="A54" s="14"/>
    </row>
    <row r="55" ht="12.75">
      <c r="A55" s="14"/>
    </row>
    <row r="56" ht="16.5" thickBot="1">
      <c r="C56" s="23"/>
    </row>
    <row r="66" ht="45.75" customHeight="1"/>
  </sheetData>
  <sheetProtection/>
  <mergeCells count="6">
    <mergeCell ref="S10:W10"/>
    <mergeCell ref="G10:R10"/>
    <mergeCell ref="D7:R7"/>
    <mergeCell ref="G9:R9"/>
    <mergeCell ref="D9:D11"/>
    <mergeCell ref="E9:E11"/>
  </mergeCells>
  <printOptions horizontalCentered="1"/>
  <pageMargins left="0.44" right="0" top="0.5905511811023623" bottom="0.3937007874015748" header="0.31496062992125984" footer="0.31496062992125984"/>
  <pageSetup fitToWidth="2" horizontalDpi="600" verticalDpi="600" orientation="landscape" paperSize="9" scale="52" r:id="rId1"/>
  <headerFooter alignWithMargins="0">
    <oddHeader>&amp;C&amp;P&amp;RПродовження додатка 4</oddHeader>
  </headerFooter>
  <colBreaks count="1" manualBreakCount="1">
    <brk id="18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view="pageBreakPreview" zoomScale="70" zoomScaleNormal="70" zoomScaleSheetLayoutView="70" zoomScalePageLayoutView="0" workbookViewId="0" topLeftCell="C52">
      <selection activeCell="E57" sqref="E57"/>
    </sheetView>
  </sheetViews>
  <sheetFormatPr defaultColWidth="9.16015625" defaultRowHeight="12.75"/>
  <cols>
    <col min="1" max="1" width="13.83203125" style="5" customWidth="1"/>
    <col min="2" max="2" width="15.16015625" style="39" customWidth="1"/>
    <col min="3" max="3" width="14" style="39" customWidth="1"/>
    <col min="4" max="4" width="16" style="39" customWidth="1"/>
    <col min="5" max="5" width="48.5" style="5" customWidth="1"/>
    <col min="6" max="6" width="52.66015625" style="5" customWidth="1"/>
    <col min="7" max="7" width="19.66015625" style="5" customWidth="1"/>
    <col min="8" max="8" width="19.33203125" style="5" customWidth="1"/>
    <col min="9" max="9" width="20" style="5" customWidth="1"/>
    <col min="10" max="10" width="21.16015625" style="5" customWidth="1"/>
    <col min="11" max="16384" width="9.16015625" style="4" customWidth="1"/>
  </cols>
  <sheetData>
    <row r="2" spans="7:8" ht="15.75">
      <c r="G2" s="60" t="s">
        <v>163</v>
      </c>
      <c r="H2" s="56"/>
    </row>
    <row r="3" spans="7:8" ht="15.75">
      <c r="G3" s="60" t="s">
        <v>108</v>
      </c>
      <c r="H3" s="55"/>
    </row>
    <row r="4" spans="7:8" ht="15.75">
      <c r="G4" s="60"/>
      <c r="H4" s="55"/>
    </row>
    <row r="5" spans="7:8" ht="15.75">
      <c r="G5" s="60" t="s">
        <v>109</v>
      </c>
      <c r="H5" s="60"/>
    </row>
    <row r="6" spans="1:10" ht="45" customHeight="1">
      <c r="A6" s="2"/>
      <c r="B6" s="319" t="s">
        <v>299</v>
      </c>
      <c r="C6" s="320"/>
      <c r="D6" s="320"/>
      <c r="E6" s="320"/>
      <c r="F6" s="320"/>
      <c r="G6" s="320"/>
      <c r="H6" s="320"/>
      <c r="I6" s="320"/>
      <c r="J6" s="320"/>
    </row>
    <row r="7" spans="1:10" ht="107.25" customHeight="1">
      <c r="A7" s="43"/>
      <c r="B7" s="34" t="s">
        <v>175</v>
      </c>
      <c r="C7" s="34" t="s">
        <v>177</v>
      </c>
      <c r="D7" s="34" t="s">
        <v>174</v>
      </c>
      <c r="E7" s="54" t="s">
        <v>83</v>
      </c>
      <c r="F7" s="36" t="s">
        <v>82</v>
      </c>
      <c r="G7" s="36" t="s">
        <v>74</v>
      </c>
      <c r="H7" s="36" t="s">
        <v>75</v>
      </c>
      <c r="I7" s="36" t="s">
        <v>76</v>
      </c>
      <c r="J7" s="36" t="s">
        <v>77</v>
      </c>
    </row>
    <row r="8" spans="1:10" ht="18" customHeight="1">
      <c r="A8" s="43"/>
      <c r="B8" s="226" t="s">
        <v>353</v>
      </c>
      <c r="C8" s="235"/>
      <c r="D8" s="236"/>
      <c r="E8" s="227" t="s">
        <v>392</v>
      </c>
      <c r="F8" s="36"/>
      <c r="G8" s="36"/>
      <c r="H8" s="36"/>
      <c r="I8" s="36"/>
      <c r="J8" s="293">
        <f>J9</f>
        <v>46000</v>
      </c>
    </row>
    <row r="9" spans="1:10" ht="97.5" customHeight="1">
      <c r="A9" s="43"/>
      <c r="B9" s="226" t="s">
        <v>217</v>
      </c>
      <c r="C9" s="229" t="s">
        <v>218</v>
      </c>
      <c r="D9" s="230" t="s">
        <v>58</v>
      </c>
      <c r="E9" s="231" t="s">
        <v>201</v>
      </c>
      <c r="F9" s="295" t="s">
        <v>161</v>
      </c>
      <c r="G9" s="36"/>
      <c r="H9" s="36"/>
      <c r="I9" s="36"/>
      <c r="J9" s="294">
        <v>46000</v>
      </c>
    </row>
    <row r="10" spans="2:10" ht="20.25" customHeight="1">
      <c r="B10" s="85" t="s">
        <v>216</v>
      </c>
      <c r="C10" s="85" t="s">
        <v>215</v>
      </c>
      <c r="D10" s="86"/>
      <c r="E10" s="303" t="s">
        <v>148</v>
      </c>
      <c r="F10" s="221"/>
      <c r="G10" s="221"/>
      <c r="H10" s="221"/>
      <c r="I10" s="221"/>
      <c r="J10" s="222">
        <f>SUM(J11:J35)</f>
        <v>6889916</v>
      </c>
    </row>
    <row r="11" spans="1:10" ht="78.75">
      <c r="A11" s="5">
        <v>80102</v>
      </c>
      <c r="B11" s="226" t="s">
        <v>220</v>
      </c>
      <c r="C11" s="229" t="s">
        <v>355</v>
      </c>
      <c r="D11" s="230" t="s">
        <v>118</v>
      </c>
      <c r="E11" s="231" t="s">
        <v>310</v>
      </c>
      <c r="F11" s="195" t="s">
        <v>397</v>
      </c>
      <c r="G11" s="196"/>
      <c r="H11" s="196"/>
      <c r="I11" s="196"/>
      <c r="J11" s="197">
        <v>772400</v>
      </c>
    </row>
    <row r="12" spans="1:10" ht="98.25" customHeight="1">
      <c r="A12" s="5">
        <v>80102</v>
      </c>
      <c r="B12" s="226" t="s">
        <v>220</v>
      </c>
      <c r="C12" s="229" t="s">
        <v>355</v>
      </c>
      <c r="D12" s="230" t="s">
        <v>118</v>
      </c>
      <c r="E12" s="231" t="s">
        <v>310</v>
      </c>
      <c r="F12" s="195" t="s">
        <v>396</v>
      </c>
      <c r="G12" s="196"/>
      <c r="H12" s="196"/>
      <c r="I12" s="196"/>
      <c r="J12" s="197">
        <f>1408362+91635</f>
        <v>1499997</v>
      </c>
    </row>
    <row r="13" spans="2:10" ht="98.25" customHeight="1">
      <c r="B13" s="226" t="s">
        <v>220</v>
      </c>
      <c r="C13" s="229" t="s">
        <v>355</v>
      </c>
      <c r="D13" s="230" t="s">
        <v>118</v>
      </c>
      <c r="E13" s="231" t="s">
        <v>310</v>
      </c>
      <c r="F13" s="195" t="s">
        <v>440</v>
      </c>
      <c r="G13" s="196"/>
      <c r="H13" s="196"/>
      <c r="I13" s="196"/>
      <c r="J13" s="197">
        <v>87783.85</v>
      </c>
    </row>
    <row r="14" spans="2:10" ht="98.25" customHeight="1">
      <c r="B14" s="226" t="s">
        <v>220</v>
      </c>
      <c r="C14" s="229" t="s">
        <v>355</v>
      </c>
      <c r="D14" s="230" t="s">
        <v>118</v>
      </c>
      <c r="E14" s="231" t="s">
        <v>310</v>
      </c>
      <c r="F14" s="195" t="s">
        <v>441</v>
      </c>
      <c r="G14" s="196"/>
      <c r="H14" s="196"/>
      <c r="I14" s="196"/>
      <c r="J14" s="197">
        <v>98728.15</v>
      </c>
    </row>
    <row r="15" spans="2:10" ht="35.25" customHeight="1">
      <c r="B15" s="226" t="s">
        <v>220</v>
      </c>
      <c r="C15" s="229" t="s">
        <v>355</v>
      </c>
      <c r="D15" s="230" t="s">
        <v>118</v>
      </c>
      <c r="E15" s="231" t="s">
        <v>310</v>
      </c>
      <c r="F15" s="195" t="s">
        <v>161</v>
      </c>
      <c r="G15" s="196"/>
      <c r="H15" s="196"/>
      <c r="I15" s="196"/>
      <c r="J15" s="197">
        <v>46000</v>
      </c>
    </row>
    <row r="16" spans="2:10" ht="101.25" customHeight="1">
      <c r="B16" s="226" t="s">
        <v>220</v>
      </c>
      <c r="C16" s="229" t="s">
        <v>355</v>
      </c>
      <c r="D16" s="230" t="s">
        <v>118</v>
      </c>
      <c r="E16" s="231" t="s">
        <v>310</v>
      </c>
      <c r="F16" s="195" t="s">
        <v>466</v>
      </c>
      <c r="G16" s="196"/>
      <c r="H16" s="196"/>
      <c r="I16" s="196"/>
      <c r="J16" s="197">
        <v>160000</v>
      </c>
    </row>
    <row r="17" spans="2:10" ht="114" customHeight="1">
      <c r="B17" s="226" t="s">
        <v>220</v>
      </c>
      <c r="C17" s="229" t="s">
        <v>355</v>
      </c>
      <c r="D17" s="230" t="s">
        <v>118</v>
      </c>
      <c r="E17" s="231" t="s">
        <v>310</v>
      </c>
      <c r="F17" s="195" t="s">
        <v>467</v>
      </c>
      <c r="G17" s="196"/>
      <c r="H17" s="196"/>
      <c r="I17" s="196"/>
      <c r="J17" s="197">
        <v>20930</v>
      </c>
    </row>
    <row r="18" spans="2:10" ht="35.25" customHeight="1">
      <c r="B18" s="226" t="s">
        <v>222</v>
      </c>
      <c r="C18" s="229" t="s">
        <v>221</v>
      </c>
      <c r="D18" s="230" t="s">
        <v>119</v>
      </c>
      <c r="E18" s="231" t="s">
        <v>223</v>
      </c>
      <c r="F18" s="195" t="s">
        <v>161</v>
      </c>
      <c r="G18" s="196"/>
      <c r="H18" s="196"/>
      <c r="I18" s="196"/>
      <c r="J18" s="197">
        <v>127000</v>
      </c>
    </row>
    <row r="19" spans="2:10" ht="50.25" customHeight="1">
      <c r="B19" s="226" t="s">
        <v>222</v>
      </c>
      <c r="C19" s="229" t="s">
        <v>221</v>
      </c>
      <c r="D19" s="230" t="s">
        <v>119</v>
      </c>
      <c r="E19" s="231" t="s">
        <v>223</v>
      </c>
      <c r="F19" s="195" t="s">
        <v>468</v>
      </c>
      <c r="G19" s="196"/>
      <c r="H19" s="196"/>
      <c r="I19" s="196"/>
      <c r="J19" s="197">
        <v>600000</v>
      </c>
    </row>
    <row r="20" spans="2:10" ht="35.25" customHeight="1">
      <c r="B20" s="226" t="s">
        <v>225</v>
      </c>
      <c r="C20" s="237" t="s">
        <v>224</v>
      </c>
      <c r="D20" s="238" t="s">
        <v>123</v>
      </c>
      <c r="E20" s="231" t="s">
        <v>363</v>
      </c>
      <c r="F20" s="195" t="s">
        <v>161</v>
      </c>
      <c r="G20" s="196"/>
      <c r="H20" s="196"/>
      <c r="I20" s="196"/>
      <c r="J20" s="197">
        <v>12800</v>
      </c>
    </row>
    <row r="21" spans="2:10" ht="32.25" customHeight="1">
      <c r="B21" s="85" t="s">
        <v>229</v>
      </c>
      <c r="C21" s="86" t="s">
        <v>124</v>
      </c>
      <c r="D21" s="86" t="s">
        <v>126</v>
      </c>
      <c r="E21" s="200" t="s">
        <v>231</v>
      </c>
      <c r="F21" s="195" t="s">
        <v>161</v>
      </c>
      <c r="G21" s="196"/>
      <c r="H21" s="196"/>
      <c r="I21" s="196"/>
      <c r="J21" s="197">
        <f>60000+21767</f>
        <v>81767</v>
      </c>
    </row>
    <row r="22" spans="2:10" ht="115.5" customHeight="1">
      <c r="B22" s="85" t="s">
        <v>229</v>
      </c>
      <c r="C22" s="86" t="s">
        <v>124</v>
      </c>
      <c r="D22" s="86" t="s">
        <v>126</v>
      </c>
      <c r="E22" s="200" t="s">
        <v>231</v>
      </c>
      <c r="F22" s="195" t="s">
        <v>399</v>
      </c>
      <c r="G22" s="196"/>
      <c r="H22" s="196"/>
      <c r="I22" s="196"/>
      <c r="J22" s="197">
        <v>66090</v>
      </c>
    </row>
    <row r="23" spans="2:10" ht="127.5" customHeight="1">
      <c r="B23" s="85" t="s">
        <v>229</v>
      </c>
      <c r="C23" s="86" t="s">
        <v>124</v>
      </c>
      <c r="D23" s="86" t="s">
        <v>126</v>
      </c>
      <c r="E23" s="200" t="s">
        <v>231</v>
      </c>
      <c r="F23" s="195" t="s">
        <v>447</v>
      </c>
      <c r="G23" s="196"/>
      <c r="H23" s="196"/>
      <c r="I23" s="196"/>
      <c r="J23" s="197">
        <v>52483</v>
      </c>
    </row>
    <row r="24" spans="2:10" ht="127.5" customHeight="1">
      <c r="B24" s="85" t="s">
        <v>229</v>
      </c>
      <c r="C24" s="86" t="s">
        <v>124</v>
      </c>
      <c r="D24" s="86" t="s">
        <v>126</v>
      </c>
      <c r="E24" s="200" t="s">
        <v>231</v>
      </c>
      <c r="F24" s="195" t="s">
        <v>469</v>
      </c>
      <c r="G24" s="196"/>
      <c r="H24" s="196"/>
      <c r="I24" s="196"/>
      <c r="J24" s="197">
        <v>3086</v>
      </c>
    </row>
    <row r="25" spans="1:10" ht="31.5">
      <c r="A25" s="84">
        <v>110202</v>
      </c>
      <c r="B25" s="85" t="s">
        <v>233</v>
      </c>
      <c r="C25" s="86" t="s">
        <v>232</v>
      </c>
      <c r="D25" s="86" t="s">
        <v>126</v>
      </c>
      <c r="E25" s="194" t="s">
        <v>234</v>
      </c>
      <c r="F25" s="198" t="s">
        <v>161</v>
      </c>
      <c r="G25" s="196"/>
      <c r="H25" s="196"/>
      <c r="I25" s="196"/>
      <c r="J25" s="197">
        <f>295990-132000</f>
        <v>163990</v>
      </c>
    </row>
    <row r="26" spans="1:10" ht="96" customHeight="1">
      <c r="A26" s="84"/>
      <c r="B26" s="85" t="s">
        <v>233</v>
      </c>
      <c r="C26" s="86" t="s">
        <v>232</v>
      </c>
      <c r="D26" s="86" t="s">
        <v>126</v>
      </c>
      <c r="E26" s="194" t="s">
        <v>234</v>
      </c>
      <c r="F26" s="198" t="s">
        <v>400</v>
      </c>
      <c r="G26" s="196"/>
      <c r="H26" s="196"/>
      <c r="I26" s="196"/>
      <c r="J26" s="197">
        <v>66090</v>
      </c>
    </row>
    <row r="27" spans="1:10" ht="47.25">
      <c r="A27" s="5">
        <v>110204</v>
      </c>
      <c r="B27" s="85" t="s">
        <v>230</v>
      </c>
      <c r="C27" s="86" t="s">
        <v>125</v>
      </c>
      <c r="D27" s="86" t="s">
        <v>127</v>
      </c>
      <c r="E27" s="200" t="s">
        <v>235</v>
      </c>
      <c r="F27" s="198" t="s">
        <v>161</v>
      </c>
      <c r="G27" s="196"/>
      <c r="H27" s="196"/>
      <c r="I27" s="196"/>
      <c r="J27" s="197">
        <f>235200+147200+30000+40000+207024+100000+28000+4000</f>
        <v>791424</v>
      </c>
    </row>
    <row r="28" spans="1:10" ht="47.25">
      <c r="A28" s="5">
        <v>110205</v>
      </c>
      <c r="B28" s="85" t="s">
        <v>230</v>
      </c>
      <c r="C28" s="86" t="s">
        <v>125</v>
      </c>
      <c r="D28" s="86" t="s">
        <v>127</v>
      </c>
      <c r="E28" s="200" t="s">
        <v>235</v>
      </c>
      <c r="F28" s="198" t="s">
        <v>330</v>
      </c>
      <c r="G28" s="196"/>
      <c r="H28" s="196"/>
      <c r="I28" s="196"/>
      <c r="J28" s="197">
        <v>700000</v>
      </c>
    </row>
    <row r="29" spans="2:10" ht="94.5">
      <c r="B29" s="85" t="s">
        <v>230</v>
      </c>
      <c r="C29" s="86" t="s">
        <v>125</v>
      </c>
      <c r="D29" s="86" t="s">
        <v>127</v>
      </c>
      <c r="E29" s="200" t="s">
        <v>235</v>
      </c>
      <c r="F29" s="201" t="s">
        <v>398</v>
      </c>
      <c r="G29" s="196"/>
      <c r="H29" s="196"/>
      <c r="I29" s="196"/>
      <c r="J29" s="197">
        <v>179362</v>
      </c>
    </row>
    <row r="30" spans="2:10" ht="63">
      <c r="B30" s="243" t="s">
        <v>314</v>
      </c>
      <c r="C30" s="291" t="s">
        <v>312</v>
      </c>
      <c r="D30" s="304" t="s">
        <v>313</v>
      </c>
      <c r="E30" s="305" t="s">
        <v>311</v>
      </c>
      <c r="F30" s="201" t="s">
        <v>472</v>
      </c>
      <c r="G30" s="196"/>
      <c r="H30" s="196"/>
      <c r="I30" s="196"/>
      <c r="J30" s="197">
        <v>30000</v>
      </c>
    </row>
    <row r="31" spans="2:10" ht="112.5" customHeight="1">
      <c r="B31" s="193" t="s">
        <v>237</v>
      </c>
      <c r="C31" s="253" t="s">
        <v>236</v>
      </c>
      <c r="D31" s="253" t="s">
        <v>128</v>
      </c>
      <c r="E31" s="200" t="s">
        <v>238</v>
      </c>
      <c r="F31" s="201" t="s">
        <v>0</v>
      </c>
      <c r="G31" s="196"/>
      <c r="H31" s="196"/>
      <c r="I31" s="196"/>
      <c r="J31" s="197">
        <v>10000</v>
      </c>
    </row>
    <row r="32" spans="2:10" ht="84" customHeight="1">
      <c r="B32" s="226" t="s">
        <v>239</v>
      </c>
      <c r="C32" s="237" t="s">
        <v>183</v>
      </c>
      <c r="D32" s="238" t="s">
        <v>129</v>
      </c>
      <c r="E32" s="231" t="s">
        <v>364</v>
      </c>
      <c r="F32" s="201" t="s">
        <v>161</v>
      </c>
      <c r="G32" s="196"/>
      <c r="H32" s="196"/>
      <c r="I32" s="196"/>
      <c r="J32" s="197">
        <f>27310+34275</f>
        <v>61585</v>
      </c>
    </row>
    <row r="33" spans="2:10" ht="84" customHeight="1">
      <c r="B33" s="226" t="s">
        <v>239</v>
      </c>
      <c r="C33" s="237" t="s">
        <v>183</v>
      </c>
      <c r="D33" s="238" t="s">
        <v>129</v>
      </c>
      <c r="E33" s="231" t="s">
        <v>364</v>
      </c>
      <c r="F33" s="201" t="s">
        <v>463</v>
      </c>
      <c r="G33" s="196"/>
      <c r="H33" s="196"/>
      <c r="I33" s="196"/>
      <c r="J33" s="197">
        <f>344520+25480</f>
        <v>370000</v>
      </c>
    </row>
    <row r="34" spans="2:10" ht="84" customHeight="1">
      <c r="B34" s="226" t="s">
        <v>464</v>
      </c>
      <c r="C34" s="237">
        <v>7321</v>
      </c>
      <c r="D34" s="238" t="s">
        <v>435</v>
      </c>
      <c r="E34" s="260" t="s">
        <v>434</v>
      </c>
      <c r="F34" s="201" t="s">
        <v>442</v>
      </c>
      <c r="G34" s="196"/>
      <c r="H34" s="196"/>
      <c r="I34" s="196"/>
      <c r="J34" s="197">
        <v>25000</v>
      </c>
    </row>
    <row r="35" spans="2:10" ht="65.25" customHeight="1">
      <c r="B35" s="85" t="s">
        <v>243</v>
      </c>
      <c r="C35" s="86" t="s">
        <v>242</v>
      </c>
      <c r="D35" s="86" t="s">
        <v>134</v>
      </c>
      <c r="E35" s="200" t="s">
        <v>244</v>
      </c>
      <c r="F35" s="220" t="s">
        <v>462</v>
      </c>
      <c r="G35" s="196"/>
      <c r="H35" s="196"/>
      <c r="I35" s="196"/>
      <c r="J35" s="197">
        <f>2103400+100000+660000-2000000</f>
        <v>863400</v>
      </c>
    </row>
    <row r="36" spans="2:10" ht="18.75">
      <c r="B36" s="85" t="s">
        <v>248</v>
      </c>
      <c r="C36" s="85" t="s">
        <v>245</v>
      </c>
      <c r="D36" s="86"/>
      <c r="E36" s="251" t="s">
        <v>197</v>
      </c>
      <c r="F36" s="115"/>
      <c r="G36" s="115"/>
      <c r="H36" s="115"/>
      <c r="I36" s="115"/>
      <c r="J36" s="112">
        <f>SUM(J37:J53)</f>
        <v>7461349.37</v>
      </c>
    </row>
    <row r="37" spans="1:10" ht="99" customHeight="1">
      <c r="A37" s="5">
        <v>70201</v>
      </c>
      <c r="B37" s="254" t="s">
        <v>249</v>
      </c>
      <c r="C37" s="86" t="s">
        <v>135</v>
      </c>
      <c r="D37" s="86" t="s">
        <v>137</v>
      </c>
      <c r="E37" s="252" t="s">
        <v>136</v>
      </c>
      <c r="F37" s="114" t="s">
        <v>414</v>
      </c>
      <c r="G37" s="115"/>
      <c r="H37" s="115"/>
      <c r="I37" s="115"/>
      <c r="J37" s="113">
        <f>776500+948500</f>
        <v>1725000</v>
      </c>
    </row>
    <row r="38" spans="2:10" ht="96" customHeight="1">
      <c r="B38" s="255" t="s">
        <v>249</v>
      </c>
      <c r="C38" s="207" t="s">
        <v>135</v>
      </c>
      <c r="D38" s="207" t="s">
        <v>137</v>
      </c>
      <c r="E38" s="252" t="s">
        <v>136</v>
      </c>
      <c r="F38" s="257" t="s">
        <v>478</v>
      </c>
      <c r="G38" s="178"/>
      <c r="H38" s="178"/>
      <c r="I38" s="178"/>
      <c r="J38" s="179">
        <v>500000</v>
      </c>
    </row>
    <row r="39" spans="2:10" ht="99" customHeight="1">
      <c r="B39" s="267" t="s">
        <v>249</v>
      </c>
      <c r="C39" s="86" t="s">
        <v>135</v>
      </c>
      <c r="D39" s="86" t="s">
        <v>137</v>
      </c>
      <c r="E39" s="250" t="s">
        <v>136</v>
      </c>
      <c r="F39" s="257" t="s">
        <v>413</v>
      </c>
      <c r="G39" s="258"/>
      <c r="H39" s="258"/>
      <c r="I39" s="258"/>
      <c r="J39" s="259">
        <v>200000</v>
      </c>
    </row>
    <row r="40" spans="2:10" ht="99" customHeight="1">
      <c r="B40" s="255" t="s">
        <v>249</v>
      </c>
      <c r="C40" s="207" t="s">
        <v>135</v>
      </c>
      <c r="D40" s="207" t="s">
        <v>137</v>
      </c>
      <c r="E40" s="252" t="s">
        <v>136</v>
      </c>
      <c r="F40" s="180" t="s">
        <v>473</v>
      </c>
      <c r="G40" s="181"/>
      <c r="H40" s="181"/>
      <c r="I40" s="181"/>
      <c r="J40" s="182">
        <v>83639</v>
      </c>
    </row>
    <row r="41" spans="2:10" ht="99" customHeight="1">
      <c r="B41" s="255" t="s">
        <v>249</v>
      </c>
      <c r="C41" s="207" t="s">
        <v>135</v>
      </c>
      <c r="D41" s="207" t="s">
        <v>137</v>
      </c>
      <c r="E41" s="252" t="s">
        <v>136</v>
      </c>
      <c r="F41" s="257" t="s">
        <v>2</v>
      </c>
      <c r="G41" s="258"/>
      <c r="H41" s="258"/>
      <c r="I41" s="258"/>
      <c r="J41" s="259">
        <v>841643</v>
      </c>
    </row>
    <row r="42" spans="2:10" ht="99" customHeight="1">
      <c r="B42" s="267" t="s">
        <v>249</v>
      </c>
      <c r="C42" s="86" t="s">
        <v>135</v>
      </c>
      <c r="D42" s="86" t="s">
        <v>137</v>
      </c>
      <c r="E42" s="250" t="s">
        <v>136</v>
      </c>
      <c r="F42" s="257" t="s">
        <v>453</v>
      </c>
      <c r="G42" s="258"/>
      <c r="H42" s="258"/>
      <c r="I42" s="258"/>
      <c r="J42" s="259">
        <v>924996</v>
      </c>
    </row>
    <row r="43" spans="2:10" ht="99" customHeight="1">
      <c r="B43" s="267" t="s">
        <v>249</v>
      </c>
      <c r="C43" s="86" t="s">
        <v>135</v>
      </c>
      <c r="D43" s="86" t="s">
        <v>137</v>
      </c>
      <c r="E43" s="250" t="s">
        <v>136</v>
      </c>
      <c r="F43" s="257" t="s">
        <v>429</v>
      </c>
      <c r="G43" s="258"/>
      <c r="H43" s="258"/>
      <c r="I43" s="258"/>
      <c r="J43" s="259">
        <v>106000</v>
      </c>
    </row>
    <row r="44" spans="2:10" ht="99" customHeight="1">
      <c r="B44" s="267" t="s">
        <v>249</v>
      </c>
      <c r="C44" s="86" t="s">
        <v>135</v>
      </c>
      <c r="D44" s="86" t="s">
        <v>137</v>
      </c>
      <c r="E44" s="250" t="s">
        <v>136</v>
      </c>
      <c r="F44" s="257" t="s">
        <v>443</v>
      </c>
      <c r="G44" s="258"/>
      <c r="H44" s="258"/>
      <c r="I44" s="258"/>
      <c r="J44" s="259">
        <v>10000</v>
      </c>
    </row>
    <row r="45" spans="2:10" ht="99" customHeight="1">
      <c r="B45" s="267" t="s">
        <v>249</v>
      </c>
      <c r="C45" s="86" t="s">
        <v>135</v>
      </c>
      <c r="D45" s="86" t="s">
        <v>137</v>
      </c>
      <c r="E45" s="250" t="s">
        <v>136</v>
      </c>
      <c r="F45" s="257" t="s">
        <v>161</v>
      </c>
      <c r="G45" s="258"/>
      <c r="H45" s="258"/>
      <c r="I45" s="258"/>
      <c r="J45" s="259">
        <f>212604+50000</f>
        <v>262604</v>
      </c>
    </row>
    <row r="46" spans="2:10" ht="99" customHeight="1">
      <c r="B46" s="267" t="s">
        <v>249</v>
      </c>
      <c r="C46" s="86" t="s">
        <v>135</v>
      </c>
      <c r="D46" s="86" t="s">
        <v>137</v>
      </c>
      <c r="E46" s="250" t="s">
        <v>136</v>
      </c>
      <c r="F46" s="177" t="s">
        <v>457</v>
      </c>
      <c r="G46" s="258"/>
      <c r="H46" s="258"/>
      <c r="I46" s="258"/>
      <c r="J46" s="259">
        <v>112696</v>
      </c>
    </row>
    <row r="47" spans="2:10" ht="99" customHeight="1">
      <c r="B47" s="267" t="s">
        <v>249</v>
      </c>
      <c r="C47" s="86" t="s">
        <v>135</v>
      </c>
      <c r="D47" s="86" t="s">
        <v>137</v>
      </c>
      <c r="E47" s="250" t="s">
        <v>136</v>
      </c>
      <c r="F47" s="177" t="s">
        <v>458</v>
      </c>
      <c r="G47" s="258"/>
      <c r="H47" s="258"/>
      <c r="I47" s="258"/>
      <c r="J47" s="259">
        <f>43421-13355-18796+1252</f>
        <v>12522</v>
      </c>
    </row>
    <row r="48" spans="1:10" ht="47.25">
      <c r="A48" s="57">
        <v>70802</v>
      </c>
      <c r="B48" s="226" t="s">
        <v>250</v>
      </c>
      <c r="C48" s="229" t="s">
        <v>138</v>
      </c>
      <c r="D48" s="230" t="s">
        <v>128</v>
      </c>
      <c r="E48" s="231" t="s">
        <v>139</v>
      </c>
      <c r="F48" s="257" t="s">
        <v>161</v>
      </c>
      <c r="G48" s="258"/>
      <c r="H48" s="258"/>
      <c r="I48" s="258"/>
      <c r="J48" s="259">
        <f>13370-2378</f>
        <v>10992</v>
      </c>
    </row>
    <row r="49" spans="1:10" ht="63">
      <c r="A49" s="57"/>
      <c r="B49" s="226" t="s">
        <v>474</v>
      </c>
      <c r="C49" s="229">
        <v>7320</v>
      </c>
      <c r="D49" s="230" t="s">
        <v>475</v>
      </c>
      <c r="E49" s="252" t="s">
        <v>434</v>
      </c>
      <c r="F49" s="257" t="s">
        <v>476</v>
      </c>
      <c r="G49" s="258"/>
      <c r="H49" s="258"/>
      <c r="I49" s="258"/>
      <c r="J49" s="259">
        <v>420000</v>
      </c>
    </row>
    <row r="50" spans="1:10" ht="63">
      <c r="A50" s="57"/>
      <c r="B50" s="226" t="s">
        <v>433</v>
      </c>
      <c r="C50" s="229">
        <v>7321</v>
      </c>
      <c r="D50" s="230" t="s">
        <v>435</v>
      </c>
      <c r="E50" s="252" t="s">
        <v>434</v>
      </c>
      <c r="F50" s="257" t="s">
        <v>477</v>
      </c>
      <c r="G50" s="268"/>
      <c r="H50" s="268"/>
      <c r="I50" s="268"/>
      <c r="J50" s="259">
        <f>350000+80000</f>
        <v>430000</v>
      </c>
    </row>
    <row r="51" spans="1:10" ht="94.5">
      <c r="A51" s="57"/>
      <c r="B51" s="226" t="s">
        <v>433</v>
      </c>
      <c r="C51" s="229">
        <v>7321</v>
      </c>
      <c r="D51" s="230" t="s">
        <v>435</v>
      </c>
      <c r="E51" s="260" t="s">
        <v>434</v>
      </c>
      <c r="F51" s="177" t="s">
        <v>444</v>
      </c>
      <c r="G51" s="268"/>
      <c r="H51" s="268"/>
      <c r="I51" s="268"/>
      <c r="J51" s="259">
        <v>1000000</v>
      </c>
    </row>
    <row r="52" spans="1:10" ht="63">
      <c r="A52" s="57"/>
      <c r="B52" s="226" t="s">
        <v>433</v>
      </c>
      <c r="C52" s="229">
        <v>7321</v>
      </c>
      <c r="D52" s="230" t="s">
        <v>435</v>
      </c>
      <c r="E52" s="252" t="s">
        <v>434</v>
      </c>
      <c r="F52" s="257" t="s">
        <v>445</v>
      </c>
      <c r="G52" s="268"/>
      <c r="H52" s="268"/>
      <c r="I52" s="268"/>
      <c r="J52" s="259">
        <v>100000</v>
      </c>
    </row>
    <row r="53" spans="1:10" ht="47.25">
      <c r="A53" s="57">
        <v>70805</v>
      </c>
      <c r="B53" s="226" t="s">
        <v>433</v>
      </c>
      <c r="C53" s="229">
        <v>7321</v>
      </c>
      <c r="D53" s="230" t="s">
        <v>435</v>
      </c>
      <c r="E53" s="252" t="s">
        <v>434</v>
      </c>
      <c r="F53" s="257" t="s">
        <v>446</v>
      </c>
      <c r="G53" s="268"/>
      <c r="H53" s="268"/>
      <c r="I53" s="268"/>
      <c r="J53" s="259">
        <v>721257.37</v>
      </c>
    </row>
    <row r="54" spans="1:10" ht="40.5" customHeight="1">
      <c r="A54" s="57"/>
      <c r="B54" s="85" t="s">
        <v>259</v>
      </c>
      <c r="C54" s="85" t="s">
        <v>258</v>
      </c>
      <c r="D54" s="86"/>
      <c r="E54" s="251" t="s">
        <v>198</v>
      </c>
      <c r="F54" s="203"/>
      <c r="G54" s="196"/>
      <c r="H54" s="196"/>
      <c r="I54" s="196"/>
      <c r="J54" s="204">
        <f>J55</f>
        <v>199000</v>
      </c>
    </row>
    <row r="55" spans="1:10" ht="63">
      <c r="A55" s="57"/>
      <c r="B55" s="256" t="s">
        <v>271</v>
      </c>
      <c r="C55" s="86" t="s">
        <v>35</v>
      </c>
      <c r="D55" s="86" t="s">
        <v>135</v>
      </c>
      <c r="E55" s="200" t="s">
        <v>36</v>
      </c>
      <c r="F55" s="198" t="s">
        <v>329</v>
      </c>
      <c r="G55" s="196"/>
      <c r="H55" s="196"/>
      <c r="I55" s="196"/>
      <c r="J55" s="197">
        <v>199000</v>
      </c>
    </row>
    <row r="56" spans="2:10" ht="18.75" customHeight="1">
      <c r="B56" s="211"/>
      <c r="C56" s="212"/>
      <c r="D56" s="216"/>
      <c r="E56" s="217" t="s">
        <v>72</v>
      </c>
      <c r="F56" s="218"/>
      <c r="G56" s="218"/>
      <c r="H56" s="218"/>
      <c r="I56" s="218"/>
      <c r="J56" s="219">
        <f>J36+J10+J54+J8</f>
        <v>14596265.370000001</v>
      </c>
    </row>
    <row r="61" spans="3:7" ht="18.75">
      <c r="C61" s="76" t="s">
        <v>158</v>
      </c>
      <c r="D61" s="77"/>
      <c r="E61" s="77"/>
      <c r="F61" s="77"/>
      <c r="G61" s="78" t="s">
        <v>159</v>
      </c>
    </row>
    <row r="66" ht="12.75">
      <c r="J66" s="269">
        <f>J56</f>
        <v>14596265.370000001</v>
      </c>
    </row>
    <row r="67" ht="12.75">
      <c r="J67" s="270">
        <f>'дод.3'!P89</f>
        <v>14596265.370000001</v>
      </c>
    </row>
    <row r="68" ht="12.75">
      <c r="J68" s="269">
        <f>J66-J67</f>
        <v>0</v>
      </c>
    </row>
  </sheetData>
  <sheetProtection/>
  <mergeCells count="1">
    <mergeCell ref="B6:J6"/>
  </mergeCells>
  <printOptions horizontalCentered="1"/>
  <pageMargins left="0.4330708661417323" right="0.3937007874015748" top="1.1811023622047245" bottom="0.31496062992125984" header="0.8267716535433072" footer="0.1968503937007874"/>
  <pageSetup fitToHeight="6" fitToWidth="1" horizontalDpi="600" verticalDpi="600" orientation="landscape" paperSize="9" scale="66" r:id="rId1"/>
  <rowBreaks count="1" manualBreakCount="1">
    <brk id="53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tabSelected="1" view="pageBreakPreview" zoomScale="55" zoomScaleNormal="75" zoomScaleSheetLayoutView="55" zoomScalePageLayoutView="0" workbookViewId="0" topLeftCell="A56">
      <selection activeCell="F65" sqref="F65"/>
    </sheetView>
  </sheetViews>
  <sheetFormatPr defaultColWidth="9.16015625" defaultRowHeight="12.75"/>
  <cols>
    <col min="1" max="1" width="19.16015625" style="5" customWidth="1"/>
    <col min="2" max="2" width="16.5" style="39" customWidth="1"/>
    <col min="3" max="3" width="15.5" style="39" customWidth="1"/>
    <col min="4" max="4" width="17.83203125" style="39" customWidth="1"/>
    <col min="5" max="5" width="54" style="5" customWidth="1"/>
    <col min="6" max="6" width="45" style="5" customWidth="1"/>
    <col min="7" max="9" width="21.16015625" style="5" customWidth="1"/>
    <col min="10" max="10" width="4.33203125" style="4" customWidth="1"/>
    <col min="11" max="16384" width="9.16015625" style="4" customWidth="1"/>
  </cols>
  <sheetData>
    <row r="2" spans="7:9" ht="15.75">
      <c r="G2" s="60" t="s">
        <v>162</v>
      </c>
      <c r="H2" s="56"/>
      <c r="I2" s="56"/>
    </row>
    <row r="3" spans="7:9" ht="15.75">
      <c r="G3" s="60" t="s">
        <v>108</v>
      </c>
      <c r="H3" s="55"/>
      <c r="I3" s="55"/>
    </row>
    <row r="4" spans="7:9" ht="15.75">
      <c r="G4" s="60"/>
      <c r="H4" s="55"/>
      <c r="I4" s="55"/>
    </row>
    <row r="5" spans="7:9" ht="15.75">
      <c r="G5" s="60" t="s">
        <v>109</v>
      </c>
      <c r="H5" s="60"/>
      <c r="I5" s="55"/>
    </row>
    <row r="6" spans="1:9" s="31" customFormat="1" ht="13.5" customHeight="1">
      <c r="A6" s="30"/>
      <c r="B6" s="340"/>
      <c r="C6" s="340"/>
      <c r="D6" s="340"/>
      <c r="E6" s="340"/>
      <c r="F6" s="340"/>
      <c r="G6" s="340"/>
      <c r="H6" s="340"/>
      <c r="I6" s="340"/>
    </row>
    <row r="7" spans="1:9" ht="61.5" customHeight="1">
      <c r="A7" s="2"/>
      <c r="B7" s="319" t="s">
        <v>300</v>
      </c>
      <c r="C7" s="320"/>
      <c r="D7" s="320"/>
      <c r="E7" s="320"/>
      <c r="F7" s="320"/>
      <c r="G7" s="320"/>
      <c r="H7" s="320"/>
      <c r="I7" s="320"/>
    </row>
    <row r="8" spans="2:9" ht="18.75">
      <c r="B8" s="40"/>
      <c r="C8" s="41"/>
      <c r="D8" s="41"/>
      <c r="E8" s="6"/>
      <c r="F8" s="52"/>
      <c r="G8" s="52"/>
      <c r="H8" s="53"/>
      <c r="I8" s="35" t="s">
        <v>157</v>
      </c>
    </row>
    <row r="9" spans="1:9" ht="107.25" customHeight="1">
      <c r="A9" s="43"/>
      <c r="B9" s="352" t="s">
        <v>84</v>
      </c>
      <c r="C9" s="352" t="s">
        <v>178</v>
      </c>
      <c r="D9" s="34" t="s">
        <v>85</v>
      </c>
      <c r="E9" s="352" t="s">
        <v>83</v>
      </c>
      <c r="F9" s="36" t="s">
        <v>78</v>
      </c>
      <c r="G9" s="307" t="s">
        <v>49</v>
      </c>
      <c r="H9" s="306" t="s">
        <v>50</v>
      </c>
      <c r="I9" s="306" t="s">
        <v>79</v>
      </c>
    </row>
    <row r="10" spans="2:9" ht="18.75">
      <c r="B10" s="85" t="s">
        <v>216</v>
      </c>
      <c r="C10" s="85" t="s">
        <v>215</v>
      </c>
      <c r="D10" s="86"/>
      <c r="E10" s="175" t="s">
        <v>148</v>
      </c>
      <c r="F10" s="174"/>
      <c r="G10" s="189">
        <f>SUM(G11:G36)</f>
        <v>3400615</v>
      </c>
      <c r="H10" s="189">
        <f>SUM(H17:H36)</f>
        <v>402200</v>
      </c>
      <c r="I10" s="189">
        <f>G10+H10</f>
        <v>3802815</v>
      </c>
    </row>
    <row r="11" spans="2:9" ht="47.25">
      <c r="B11" s="85" t="s">
        <v>220</v>
      </c>
      <c r="C11" s="190">
        <v>2010</v>
      </c>
      <c r="D11" s="191" t="s">
        <v>118</v>
      </c>
      <c r="E11" s="83" t="s">
        <v>310</v>
      </c>
      <c r="F11" s="186" t="s">
        <v>185</v>
      </c>
      <c r="G11" s="192">
        <v>42950</v>
      </c>
      <c r="H11" s="353">
        <v>0</v>
      </c>
      <c r="I11" s="187">
        <f aca="true" t="shared" si="0" ref="I11:I60">G11+H11</f>
        <v>42950</v>
      </c>
    </row>
    <row r="12" spans="2:9" ht="63">
      <c r="B12" s="85" t="s">
        <v>220</v>
      </c>
      <c r="C12" s="190">
        <v>2010</v>
      </c>
      <c r="D12" s="191" t="s">
        <v>118</v>
      </c>
      <c r="E12" s="83" t="s">
        <v>310</v>
      </c>
      <c r="F12" s="186" t="s">
        <v>333</v>
      </c>
      <c r="G12" s="192">
        <v>109700</v>
      </c>
      <c r="H12" s="353">
        <v>0</v>
      </c>
      <c r="I12" s="187">
        <f t="shared" si="0"/>
        <v>109700</v>
      </c>
    </row>
    <row r="13" spans="2:9" ht="63">
      <c r="B13" s="243" t="s">
        <v>222</v>
      </c>
      <c r="C13" s="291" t="s">
        <v>221</v>
      </c>
      <c r="D13" s="304" t="s">
        <v>119</v>
      </c>
      <c r="E13" s="305" t="s">
        <v>223</v>
      </c>
      <c r="F13" s="186" t="s">
        <v>470</v>
      </c>
      <c r="G13" s="192">
        <v>6000</v>
      </c>
      <c r="H13" s="353">
        <v>48000</v>
      </c>
      <c r="I13" s="187">
        <f t="shared" si="0"/>
        <v>54000</v>
      </c>
    </row>
    <row r="14" spans="2:9" ht="105.75" customHeight="1">
      <c r="B14" s="243" t="s">
        <v>222</v>
      </c>
      <c r="C14" s="291" t="s">
        <v>221</v>
      </c>
      <c r="D14" s="304" t="s">
        <v>119</v>
      </c>
      <c r="E14" s="305" t="s">
        <v>223</v>
      </c>
      <c r="F14" s="186" t="s">
        <v>471</v>
      </c>
      <c r="G14" s="192">
        <v>1944747</v>
      </c>
      <c r="H14" s="353">
        <v>127000</v>
      </c>
      <c r="I14" s="187">
        <f t="shared" si="0"/>
        <v>2071747</v>
      </c>
    </row>
    <row r="15" spans="2:9" ht="105.75" customHeight="1">
      <c r="B15" s="234" t="s">
        <v>356</v>
      </c>
      <c r="C15" s="237" t="s">
        <v>357</v>
      </c>
      <c r="D15" s="238" t="s">
        <v>120</v>
      </c>
      <c r="E15" s="231" t="s">
        <v>358</v>
      </c>
      <c r="F15" s="186" t="s">
        <v>471</v>
      </c>
      <c r="G15" s="192">
        <v>362409</v>
      </c>
      <c r="H15" s="187">
        <v>0</v>
      </c>
      <c r="I15" s="187">
        <f t="shared" si="0"/>
        <v>362409</v>
      </c>
    </row>
    <row r="16" spans="2:9" ht="105.75" customHeight="1">
      <c r="B16" s="234" t="s">
        <v>359</v>
      </c>
      <c r="C16" s="237" t="s">
        <v>360</v>
      </c>
      <c r="D16" s="238" t="s">
        <v>120</v>
      </c>
      <c r="E16" s="231" t="s">
        <v>361</v>
      </c>
      <c r="F16" s="186" t="s">
        <v>471</v>
      </c>
      <c r="G16" s="192">
        <v>150493</v>
      </c>
      <c r="H16" s="187">
        <v>0</v>
      </c>
      <c r="I16" s="187">
        <f t="shared" si="0"/>
        <v>150493</v>
      </c>
    </row>
    <row r="17" spans="1:9" ht="110.25">
      <c r="A17" s="74">
        <v>91102</v>
      </c>
      <c r="B17" s="193" t="s">
        <v>225</v>
      </c>
      <c r="C17" s="253" t="s">
        <v>224</v>
      </c>
      <c r="D17" s="253" t="s">
        <v>123</v>
      </c>
      <c r="E17" s="200" t="s">
        <v>226</v>
      </c>
      <c r="F17" s="186" t="s">
        <v>149</v>
      </c>
      <c r="G17" s="116">
        <v>20450</v>
      </c>
      <c r="H17" s="187">
        <v>0</v>
      </c>
      <c r="I17" s="187">
        <f t="shared" si="0"/>
        <v>20450</v>
      </c>
    </row>
    <row r="18" spans="1:9" ht="63">
      <c r="A18" s="74"/>
      <c r="B18" s="193" t="s">
        <v>225</v>
      </c>
      <c r="C18" s="253" t="s">
        <v>224</v>
      </c>
      <c r="D18" s="253" t="s">
        <v>123</v>
      </c>
      <c r="E18" s="200" t="s">
        <v>226</v>
      </c>
      <c r="F18" s="186" t="s">
        <v>333</v>
      </c>
      <c r="G18" s="116">
        <v>1000</v>
      </c>
      <c r="H18" s="187">
        <v>0</v>
      </c>
      <c r="I18" s="187">
        <f t="shared" si="0"/>
        <v>1000</v>
      </c>
    </row>
    <row r="19" spans="1:9" ht="63">
      <c r="A19" s="74">
        <v>180404</v>
      </c>
      <c r="B19" s="85" t="s">
        <v>241</v>
      </c>
      <c r="C19" s="86" t="s">
        <v>240</v>
      </c>
      <c r="D19" s="86" t="s">
        <v>81</v>
      </c>
      <c r="E19" s="83" t="s">
        <v>130</v>
      </c>
      <c r="F19" s="186" t="s">
        <v>340</v>
      </c>
      <c r="G19" s="116">
        <v>1500</v>
      </c>
      <c r="H19" s="187">
        <v>0</v>
      </c>
      <c r="I19" s="187">
        <f t="shared" si="0"/>
        <v>1500</v>
      </c>
    </row>
    <row r="20" spans="1:9" ht="47.25">
      <c r="A20" s="74">
        <v>90802</v>
      </c>
      <c r="B20" s="85" t="s">
        <v>219</v>
      </c>
      <c r="C20" s="86" t="s">
        <v>122</v>
      </c>
      <c r="D20" s="86" t="s">
        <v>123</v>
      </c>
      <c r="E20" s="83" t="s">
        <v>121</v>
      </c>
      <c r="F20" s="186" t="s">
        <v>195</v>
      </c>
      <c r="G20" s="116">
        <v>20000</v>
      </c>
      <c r="H20" s="187">
        <v>0</v>
      </c>
      <c r="I20" s="187">
        <f t="shared" si="0"/>
        <v>20000</v>
      </c>
    </row>
    <row r="21" spans="1:9" ht="78.75">
      <c r="A21" s="74">
        <v>90802</v>
      </c>
      <c r="B21" s="85" t="s">
        <v>219</v>
      </c>
      <c r="C21" s="86" t="s">
        <v>122</v>
      </c>
      <c r="D21" s="86" t="s">
        <v>123</v>
      </c>
      <c r="E21" s="83" t="s">
        <v>121</v>
      </c>
      <c r="F21" s="186" t="s">
        <v>186</v>
      </c>
      <c r="G21" s="116">
        <v>14000</v>
      </c>
      <c r="H21" s="187">
        <v>0</v>
      </c>
      <c r="I21" s="187">
        <f t="shared" si="0"/>
        <v>14000</v>
      </c>
    </row>
    <row r="22" spans="1:9" ht="47.25">
      <c r="A22" s="74">
        <v>91103</v>
      </c>
      <c r="B22" s="85" t="s">
        <v>228</v>
      </c>
      <c r="C22" s="86" t="s">
        <v>227</v>
      </c>
      <c r="D22" s="86" t="s">
        <v>123</v>
      </c>
      <c r="E22" s="83" t="s">
        <v>181</v>
      </c>
      <c r="F22" s="186" t="s">
        <v>196</v>
      </c>
      <c r="G22" s="116">
        <v>17630</v>
      </c>
      <c r="H22" s="187">
        <v>0</v>
      </c>
      <c r="I22" s="187">
        <f t="shared" si="0"/>
        <v>17630</v>
      </c>
    </row>
    <row r="23" spans="1:9" ht="78.75">
      <c r="A23" s="74">
        <v>110103</v>
      </c>
      <c r="B23" s="85" t="s">
        <v>314</v>
      </c>
      <c r="C23" s="86" t="s">
        <v>312</v>
      </c>
      <c r="D23" s="86" t="s">
        <v>313</v>
      </c>
      <c r="E23" s="200" t="s">
        <v>311</v>
      </c>
      <c r="F23" s="186" t="s">
        <v>341</v>
      </c>
      <c r="G23" s="116">
        <f>77500+17800+60</f>
        <v>95360</v>
      </c>
      <c r="H23" s="187">
        <v>0</v>
      </c>
      <c r="I23" s="187">
        <f t="shared" si="0"/>
        <v>95360</v>
      </c>
    </row>
    <row r="24" spans="1:9" ht="78.75">
      <c r="A24" s="74"/>
      <c r="B24" s="85" t="s">
        <v>314</v>
      </c>
      <c r="C24" s="86" t="s">
        <v>312</v>
      </c>
      <c r="D24" s="86" t="s">
        <v>313</v>
      </c>
      <c r="E24" s="200" t="s">
        <v>311</v>
      </c>
      <c r="F24" s="186" t="s">
        <v>213</v>
      </c>
      <c r="G24" s="116">
        <f>79900+28200-3000+3000+4336+20000</f>
        <v>132436</v>
      </c>
      <c r="H24" s="187">
        <v>0</v>
      </c>
      <c r="I24" s="187">
        <f t="shared" si="0"/>
        <v>132436</v>
      </c>
    </row>
    <row r="25" spans="1:9" ht="63">
      <c r="A25" s="74"/>
      <c r="B25" s="85" t="s">
        <v>314</v>
      </c>
      <c r="C25" s="86" t="s">
        <v>312</v>
      </c>
      <c r="D25" s="86" t="s">
        <v>313</v>
      </c>
      <c r="E25" s="200" t="s">
        <v>311</v>
      </c>
      <c r="F25" s="186" t="s">
        <v>415</v>
      </c>
      <c r="G25" s="116">
        <v>0</v>
      </c>
      <c r="H25" s="187">
        <v>30000</v>
      </c>
      <c r="I25" s="187">
        <f>G25+H25</f>
        <v>30000</v>
      </c>
    </row>
    <row r="26" spans="1:9" ht="79.5" customHeight="1">
      <c r="A26" s="74"/>
      <c r="B26" s="85" t="s">
        <v>314</v>
      </c>
      <c r="C26" s="86" t="s">
        <v>312</v>
      </c>
      <c r="D26" s="86" t="s">
        <v>313</v>
      </c>
      <c r="E26" s="200" t="s">
        <v>311</v>
      </c>
      <c r="F26" s="186" t="s">
        <v>449</v>
      </c>
      <c r="G26" s="116">
        <v>24900</v>
      </c>
      <c r="H26" s="187">
        <v>0</v>
      </c>
      <c r="I26" s="187">
        <f>G26+H26</f>
        <v>24900</v>
      </c>
    </row>
    <row r="27" spans="1:9" ht="63">
      <c r="A27" s="74">
        <v>110201</v>
      </c>
      <c r="B27" s="193" t="s">
        <v>229</v>
      </c>
      <c r="C27" s="253" t="s">
        <v>124</v>
      </c>
      <c r="D27" s="253" t="s">
        <v>126</v>
      </c>
      <c r="E27" s="200" t="s">
        <v>231</v>
      </c>
      <c r="F27" s="186" t="s">
        <v>150</v>
      </c>
      <c r="G27" s="116">
        <v>25000</v>
      </c>
      <c r="H27" s="187">
        <v>60000</v>
      </c>
      <c r="I27" s="187">
        <f t="shared" si="0"/>
        <v>85000</v>
      </c>
    </row>
    <row r="28" spans="1:9" ht="47.25">
      <c r="A28" s="74"/>
      <c r="B28" s="237" t="s">
        <v>230</v>
      </c>
      <c r="C28" s="237" t="s">
        <v>125</v>
      </c>
      <c r="D28" s="238" t="s">
        <v>127</v>
      </c>
      <c r="E28" s="231" t="s">
        <v>235</v>
      </c>
      <c r="F28" s="186" t="s">
        <v>416</v>
      </c>
      <c r="G28" s="116">
        <v>17800</v>
      </c>
      <c r="H28" s="187">
        <v>147200</v>
      </c>
      <c r="I28" s="187">
        <f t="shared" si="0"/>
        <v>165000</v>
      </c>
    </row>
    <row r="29" spans="1:9" ht="63">
      <c r="A29" s="74"/>
      <c r="B29" s="85" t="s">
        <v>237</v>
      </c>
      <c r="C29" s="86" t="s">
        <v>236</v>
      </c>
      <c r="D29" s="86" t="s">
        <v>128</v>
      </c>
      <c r="E29" s="188" t="s">
        <v>238</v>
      </c>
      <c r="F29" s="186" t="s">
        <v>212</v>
      </c>
      <c r="G29" s="116">
        <v>25000</v>
      </c>
      <c r="H29" s="187">
        <v>65000</v>
      </c>
      <c r="I29" s="187">
        <f t="shared" si="0"/>
        <v>90000</v>
      </c>
    </row>
    <row r="30" spans="1:9" ht="63">
      <c r="A30" s="74">
        <v>130115</v>
      </c>
      <c r="B30" s="85" t="s">
        <v>239</v>
      </c>
      <c r="C30" s="86" t="s">
        <v>183</v>
      </c>
      <c r="D30" s="86" t="s">
        <v>129</v>
      </c>
      <c r="E30" s="83" t="s">
        <v>182</v>
      </c>
      <c r="F30" s="186" t="s">
        <v>151</v>
      </c>
      <c r="G30" s="116">
        <f>178000+63840-6840+10500</f>
        <v>245500</v>
      </c>
      <c r="H30" s="187">
        <v>0</v>
      </c>
      <c r="I30" s="187">
        <f t="shared" si="0"/>
        <v>245500</v>
      </c>
    </row>
    <row r="31" spans="1:9" ht="63">
      <c r="A31" s="74"/>
      <c r="B31" s="85" t="s">
        <v>239</v>
      </c>
      <c r="C31" s="86" t="s">
        <v>183</v>
      </c>
      <c r="D31" s="86" t="s">
        <v>129</v>
      </c>
      <c r="E31" s="83" t="s">
        <v>182</v>
      </c>
      <c r="F31" s="186" t="s">
        <v>448</v>
      </c>
      <c r="G31" s="116">
        <v>40140</v>
      </c>
      <c r="H31" s="187">
        <v>0</v>
      </c>
      <c r="I31" s="187">
        <f t="shared" si="0"/>
        <v>40140</v>
      </c>
    </row>
    <row r="32" spans="1:9" ht="74.25" customHeight="1">
      <c r="A32" s="74"/>
      <c r="B32" s="85" t="s">
        <v>315</v>
      </c>
      <c r="C32" s="86" t="s">
        <v>318</v>
      </c>
      <c r="D32" s="86" t="s">
        <v>317</v>
      </c>
      <c r="E32" s="200" t="s">
        <v>316</v>
      </c>
      <c r="F32" s="186" t="s">
        <v>319</v>
      </c>
      <c r="G32" s="116">
        <v>30000</v>
      </c>
      <c r="H32" s="187">
        <v>0</v>
      </c>
      <c r="I32" s="187">
        <f t="shared" si="0"/>
        <v>30000</v>
      </c>
    </row>
    <row r="33" spans="1:9" ht="31.5" hidden="1">
      <c r="A33" s="74"/>
      <c r="B33" s="171"/>
      <c r="C33" s="149" t="s">
        <v>131</v>
      </c>
      <c r="D33" s="149" t="s">
        <v>132</v>
      </c>
      <c r="E33" s="150" t="s">
        <v>133</v>
      </c>
      <c r="F33" s="151" t="s">
        <v>214</v>
      </c>
      <c r="G33" s="153">
        <v>0</v>
      </c>
      <c r="H33" s="152">
        <v>0</v>
      </c>
      <c r="I33" s="152">
        <f t="shared" si="0"/>
        <v>0</v>
      </c>
    </row>
    <row r="34" spans="1:9" ht="78.75">
      <c r="A34" s="74">
        <v>250404</v>
      </c>
      <c r="B34" s="85" t="s">
        <v>247</v>
      </c>
      <c r="C34" s="86" t="s">
        <v>134</v>
      </c>
      <c r="D34" s="86" t="s">
        <v>132</v>
      </c>
      <c r="E34" s="83" t="s">
        <v>246</v>
      </c>
      <c r="F34" s="208" t="s">
        <v>343</v>
      </c>
      <c r="G34" s="116">
        <f>73840-3600-36640</f>
        <v>33600</v>
      </c>
      <c r="H34" s="187">
        <v>0</v>
      </c>
      <c r="I34" s="187">
        <f t="shared" si="0"/>
        <v>33600</v>
      </c>
    </row>
    <row r="35" spans="1:9" ht="78.75">
      <c r="A35" s="74"/>
      <c r="B35" s="85" t="s">
        <v>243</v>
      </c>
      <c r="C35" s="86" t="s">
        <v>242</v>
      </c>
      <c r="D35" s="86" t="s">
        <v>134</v>
      </c>
      <c r="E35" s="200" t="s">
        <v>244</v>
      </c>
      <c r="F35" s="208" t="s">
        <v>332</v>
      </c>
      <c r="G35" s="116">
        <v>0</v>
      </c>
      <c r="H35" s="187">
        <v>100000</v>
      </c>
      <c r="I35" s="187">
        <f t="shared" si="0"/>
        <v>100000</v>
      </c>
    </row>
    <row r="36" spans="1:9" ht="98.25" customHeight="1">
      <c r="A36" s="74">
        <v>250911</v>
      </c>
      <c r="B36" s="267" t="s">
        <v>417</v>
      </c>
      <c r="C36" s="86" t="s">
        <v>347</v>
      </c>
      <c r="D36" s="86" t="s">
        <v>80</v>
      </c>
      <c r="E36" s="274" t="s">
        <v>418</v>
      </c>
      <c r="F36" s="186" t="s">
        <v>187</v>
      </c>
      <c r="G36" s="116">
        <v>40000</v>
      </c>
      <c r="H36" s="187">
        <v>0</v>
      </c>
      <c r="I36" s="187">
        <f t="shared" si="0"/>
        <v>40000</v>
      </c>
    </row>
    <row r="37" spans="2:9" ht="38.25" customHeight="1">
      <c r="B37" s="85" t="s">
        <v>248</v>
      </c>
      <c r="C37" s="85" t="s">
        <v>245</v>
      </c>
      <c r="D37" s="86"/>
      <c r="E37" s="135" t="s">
        <v>197</v>
      </c>
      <c r="F37" s="174"/>
      <c r="G37" s="130">
        <f>G38+G39+G40+G42+G43+G46+G47+G41+G44</f>
        <v>424788</v>
      </c>
      <c r="H37" s="130">
        <f>H38+H39+H40+H42+H43+H46+H47+H41</f>
        <v>0</v>
      </c>
      <c r="I37" s="130">
        <f>I38+I39+I40+I42+I43+I46+I47+I41+I44</f>
        <v>424788</v>
      </c>
    </row>
    <row r="38" spans="1:9" ht="66.75" customHeight="1">
      <c r="A38" s="74">
        <v>70808</v>
      </c>
      <c r="B38" s="226" t="s">
        <v>402</v>
      </c>
      <c r="C38" s="229" t="s">
        <v>401</v>
      </c>
      <c r="D38" s="230" t="s">
        <v>123</v>
      </c>
      <c r="E38" s="231" t="s">
        <v>403</v>
      </c>
      <c r="F38" s="208" t="s">
        <v>188</v>
      </c>
      <c r="G38" s="183">
        <v>1810</v>
      </c>
      <c r="H38" s="184">
        <v>0</v>
      </c>
      <c r="I38" s="184">
        <f t="shared" si="0"/>
        <v>1810</v>
      </c>
    </row>
    <row r="39" spans="1:9" ht="82.5" customHeight="1">
      <c r="A39" s="74">
        <v>70201</v>
      </c>
      <c r="B39" s="206" t="s">
        <v>249</v>
      </c>
      <c r="C39" s="207" t="s">
        <v>135</v>
      </c>
      <c r="D39" s="207" t="s">
        <v>137</v>
      </c>
      <c r="E39" s="82" t="s">
        <v>136</v>
      </c>
      <c r="F39" s="208" t="s">
        <v>188</v>
      </c>
      <c r="G39" s="183">
        <v>24878</v>
      </c>
      <c r="H39" s="184">
        <v>0</v>
      </c>
      <c r="I39" s="184">
        <f t="shared" si="0"/>
        <v>24878</v>
      </c>
    </row>
    <row r="40" spans="1:9" ht="78.75" customHeight="1">
      <c r="A40" s="74">
        <v>70201</v>
      </c>
      <c r="B40" s="206" t="s">
        <v>249</v>
      </c>
      <c r="C40" s="207" t="s">
        <v>135</v>
      </c>
      <c r="D40" s="207" t="s">
        <v>137</v>
      </c>
      <c r="E40" s="82" t="s">
        <v>136</v>
      </c>
      <c r="F40" s="208" t="s">
        <v>335</v>
      </c>
      <c r="G40" s="183">
        <v>147000</v>
      </c>
      <c r="H40" s="184">
        <v>0</v>
      </c>
      <c r="I40" s="184">
        <f t="shared" si="0"/>
        <v>147000</v>
      </c>
    </row>
    <row r="41" spans="1:9" ht="73.5" customHeight="1" hidden="1">
      <c r="A41" s="74"/>
      <c r="B41" s="171"/>
      <c r="C41" s="149"/>
      <c r="D41" s="149"/>
      <c r="E41" s="173"/>
      <c r="F41" s="151"/>
      <c r="G41" s="153"/>
      <c r="H41" s="152"/>
      <c r="I41" s="152"/>
    </row>
    <row r="42" spans="1:9" ht="49.5" customHeight="1">
      <c r="A42" s="74">
        <v>70401</v>
      </c>
      <c r="B42" s="85" t="s">
        <v>250</v>
      </c>
      <c r="C42" s="86" t="s">
        <v>138</v>
      </c>
      <c r="D42" s="86" t="s">
        <v>128</v>
      </c>
      <c r="E42" s="185" t="s">
        <v>152</v>
      </c>
      <c r="F42" s="186" t="s">
        <v>153</v>
      </c>
      <c r="G42" s="116">
        <f>10000+5000</f>
        <v>15000</v>
      </c>
      <c r="H42" s="187">
        <v>0</v>
      </c>
      <c r="I42" s="187">
        <f t="shared" si="0"/>
        <v>15000</v>
      </c>
    </row>
    <row r="43" spans="1:9" ht="49.5" customHeight="1">
      <c r="A43" s="74">
        <v>70802</v>
      </c>
      <c r="B43" s="85" t="s">
        <v>252</v>
      </c>
      <c r="C43" s="86" t="s">
        <v>251</v>
      </c>
      <c r="D43" s="86" t="s">
        <v>140</v>
      </c>
      <c r="E43" s="83" t="s">
        <v>253</v>
      </c>
      <c r="F43" s="186" t="s">
        <v>154</v>
      </c>
      <c r="G43" s="116">
        <v>30000</v>
      </c>
      <c r="H43" s="187">
        <v>0</v>
      </c>
      <c r="I43" s="187">
        <f t="shared" si="0"/>
        <v>30000</v>
      </c>
    </row>
    <row r="44" spans="1:9" ht="81.75" customHeight="1">
      <c r="A44" s="74"/>
      <c r="B44" s="85" t="s">
        <v>252</v>
      </c>
      <c r="C44" s="86" t="s">
        <v>251</v>
      </c>
      <c r="D44" s="86" t="s">
        <v>140</v>
      </c>
      <c r="E44" s="83" t="s">
        <v>253</v>
      </c>
      <c r="F44" s="186" t="s">
        <v>213</v>
      </c>
      <c r="G44" s="116">
        <f>21000-3000</f>
        <v>18000</v>
      </c>
      <c r="H44" s="187">
        <v>0</v>
      </c>
      <c r="I44" s="187">
        <f t="shared" si="0"/>
        <v>18000</v>
      </c>
    </row>
    <row r="45" spans="1:9" ht="81.75" customHeight="1">
      <c r="A45" s="74"/>
      <c r="B45" s="85" t="s">
        <v>252</v>
      </c>
      <c r="C45" s="86" t="s">
        <v>251</v>
      </c>
      <c r="D45" s="86" t="s">
        <v>140</v>
      </c>
      <c r="E45" s="83" t="s">
        <v>253</v>
      </c>
      <c r="F45" s="186" t="s">
        <v>448</v>
      </c>
      <c r="G45" s="116">
        <v>31460</v>
      </c>
      <c r="H45" s="187">
        <v>0</v>
      </c>
      <c r="I45" s="187">
        <f t="shared" si="0"/>
        <v>31460</v>
      </c>
    </row>
    <row r="46" spans="1:9" ht="49.5" customHeight="1">
      <c r="A46" s="74">
        <v>130107</v>
      </c>
      <c r="B46" s="85" t="s">
        <v>257</v>
      </c>
      <c r="C46" s="86" t="s">
        <v>184</v>
      </c>
      <c r="D46" s="86" t="s">
        <v>129</v>
      </c>
      <c r="E46" s="83" t="s">
        <v>143</v>
      </c>
      <c r="F46" s="186" t="s">
        <v>151</v>
      </c>
      <c r="G46" s="116">
        <f>151000+35600+1500</f>
        <v>188100</v>
      </c>
      <c r="H46" s="187">
        <v>0</v>
      </c>
      <c r="I46" s="187">
        <f t="shared" si="0"/>
        <v>188100</v>
      </c>
    </row>
    <row r="47" spans="1:9" ht="77.25" customHeight="1" hidden="1">
      <c r="A47" s="74"/>
      <c r="B47" s="206"/>
      <c r="C47" s="207"/>
      <c r="D47" s="207"/>
      <c r="E47" s="82"/>
      <c r="F47" s="208"/>
      <c r="G47" s="183"/>
      <c r="H47" s="184"/>
      <c r="I47" s="184"/>
    </row>
    <row r="48" spans="1:9" ht="49.5" customHeight="1">
      <c r="A48" s="74"/>
      <c r="B48" s="85" t="s">
        <v>259</v>
      </c>
      <c r="C48" s="85" t="s">
        <v>258</v>
      </c>
      <c r="D48" s="86"/>
      <c r="E48" s="176" t="s">
        <v>198</v>
      </c>
      <c r="F48" s="174"/>
      <c r="G48" s="130">
        <f>SUM(G49:G58)</f>
        <v>1041323</v>
      </c>
      <c r="H48" s="130">
        <f>H49+H50+H51+H52+H53+H54+H55+H56+H57</f>
        <v>0</v>
      </c>
      <c r="I48" s="189">
        <f>G48+H48</f>
        <v>1041323</v>
      </c>
    </row>
    <row r="49" spans="1:9" ht="80.25" customHeight="1">
      <c r="A49" s="74">
        <v>91209</v>
      </c>
      <c r="B49" s="256" t="s">
        <v>282</v>
      </c>
      <c r="C49" s="86" t="s">
        <v>281</v>
      </c>
      <c r="D49" s="86" t="s">
        <v>146</v>
      </c>
      <c r="E49" s="200" t="s">
        <v>386</v>
      </c>
      <c r="F49" s="186" t="s">
        <v>155</v>
      </c>
      <c r="G49" s="116">
        <v>29400</v>
      </c>
      <c r="H49" s="187">
        <v>0</v>
      </c>
      <c r="I49" s="187">
        <f t="shared" si="0"/>
        <v>29400</v>
      </c>
    </row>
    <row r="50" spans="1:9" ht="97.5" customHeight="1">
      <c r="A50" s="75">
        <v>91209</v>
      </c>
      <c r="B50" s="256" t="s">
        <v>282</v>
      </c>
      <c r="C50" s="86" t="s">
        <v>281</v>
      </c>
      <c r="D50" s="86" t="s">
        <v>146</v>
      </c>
      <c r="E50" s="200" t="s">
        <v>386</v>
      </c>
      <c r="F50" s="186" t="s">
        <v>189</v>
      </c>
      <c r="G50" s="296">
        <f>443275+5100+3900+9600</f>
        <v>461875</v>
      </c>
      <c r="H50" s="187">
        <v>0</v>
      </c>
      <c r="I50" s="187">
        <f t="shared" si="0"/>
        <v>461875</v>
      </c>
    </row>
    <row r="51" spans="1:9" ht="95.25" customHeight="1">
      <c r="A51" s="74">
        <v>90201</v>
      </c>
      <c r="B51" s="85" t="s">
        <v>260</v>
      </c>
      <c r="C51" s="86" t="s">
        <v>144</v>
      </c>
      <c r="D51" s="86" t="s">
        <v>146</v>
      </c>
      <c r="E51" s="200" t="s">
        <v>307</v>
      </c>
      <c r="F51" s="186" t="s">
        <v>190</v>
      </c>
      <c r="G51" s="116">
        <v>5059</v>
      </c>
      <c r="H51" s="187">
        <v>0</v>
      </c>
      <c r="I51" s="187">
        <f t="shared" si="0"/>
        <v>5059</v>
      </c>
    </row>
    <row r="52" spans="1:9" ht="94.5">
      <c r="A52" s="74">
        <v>90202</v>
      </c>
      <c r="B52" s="256" t="s">
        <v>325</v>
      </c>
      <c r="C52" s="86" t="s">
        <v>326</v>
      </c>
      <c r="D52" s="86" t="s">
        <v>146</v>
      </c>
      <c r="E52" s="200" t="s">
        <v>327</v>
      </c>
      <c r="F52" s="186" t="s">
        <v>190</v>
      </c>
      <c r="G52" s="116">
        <v>30500</v>
      </c>
      <c r="H52" s="187">
        <v>0</v>
      </c>
      <c r="I52" s="187">
        <f t="shared" si="0"/>
        <v>30500</v>
      </c>
    </row>
    <row r="53" spans="1:9" ht="94.5">
      <c r="A53" s="74">
        <v>90203</v>
      </c>
      <c r="B53" s="256" t="s">
        <v>263</v>
      </c>
      <c r="C53" s="86" t="s">
        <v>18</v>
      </c>
      <c r="D53" s="86" t="s">
        <v>146</v>
      </c>
      <c r="E53" s="200" t="s">
        <v>275</v>
      </c>
      <c r="F53" s="186" t="s">
        <v>190</v>
      </c>
      <c r="G53" s="116">
        <v>12000</v>
      </c>
      <c r="H53" s="187">
        <v>0</v>
      </c>
      <c r="I53" s="187">
        <f t="shared" si="0"/>
        <v>12000</v>
      </c>
    </row>
    <row r="54" spans="1:9" ht="98.25" customHeight="1">
      <c r="A54" s="74">
        <v>90203</v>
      </c>
      <c r="B54" s="256" t="s">
        <v>263</v>
      </c>
      <c r="C54" s="86" t="s">
        <v>18</v>
      </c>
      <c r="D54" s="86" t="s">
        <v>146</v>
      </c>
      <c r="E54" s="200" t="s">
        <v>275</v>
      </c>
      <c r="F54" s="208" t="s">
        <v>342</v>
      </c>
      <c r="G54" s="116">
        <v>19600</v>
      </c>
      <c r="H54" s="187">
        <v>0</v>
      </c>
      <c r="I54" s="187">
        <f t="shared" si="0"/>
        <v>19600</v>
      </c>
    </row>
    <row r="55" spans="1:9" ht="94.5">
      <c r="A55" s="74">
        <v>90214</v>
      </c>
      <c r="B55" s="256" t="s">
        <v>277</v>
      </c>
      <c r="C55" s="86" t="s">
        <v>276</v>
      </c>
      <c r="D55" s="86" t="s">
        <v>14</v>
      </c>
      <c r="E55" s="202" t="s">
        <v>19</v>
      </c>
      <c r="F55" s="208" t="s">
        <v>342</v>
      </c>
      <c r="G55" s="116">
        <v>101400</v>
      </c>
      <c r="H55" s="187">
        <v>0</v>
      </c>
      <c r="I55" s="187">
        <f t="shared" si="0"/>
        <v>101400</v>
      </c>
    </row>
    <row r="56" spans="1:9" ht="31.5">
      <c r="A56" s="74">
        <v>91103</v>
      </c>
      <c r="B56" s="256" t="s">
        <v>278</v>
      </c>
      <c r="C56" s="86" t="s">
        <v>227</v>
      </c>
      <c r="D56" s="86" t="s">
        <v>123</v>
      </c>
      <c r="E56" s="200" t="s">
        <v>181</v>
      </c>
      <c r="F56" s="186" t="s">
        <v>191</v>
      </c>
      <c r="G56" s="116">
        <v>34890</v>
      </c>
      <c r="H56" s="187">
        <v>0</v>
      </c>
      <c r="I56" s="187">
        <f t="shared" si="0"/>
        <v>34890</v>
      </c>
    </row>
    <row r="57" spans="1:9" ht="87" customHeight="1">
      <c r="A57" s="74"/>
      <c r="B57" s="85" t="s">
        <v>334</v>
      </c>
      <c r="C57" s="86" t="s">
        <v>256</v>
      </c>
      <c r="D57" s="86" t="s">
        <v>14</v>
      </c>
      <c r="E57" s="83" t="s">
        <v>141</v>
      </c>
      <c r="F57" s="186" t="s">
        <v>335</v>
      </c>
      <c r="G57" s="116">
        <f>150000+49500+10000</f>
        <v>209500</v>
      </c>
      <c r="H57" s="354">
        <v>0</v>
      </c>
      <c r="I57" s="187">
        <f t="shared" si="0"/>
        <v>209500</v>
      </c>
    </row>
    <row r="58" spans="1:9" ht="99.75" customHeight="1">
      <c r="A58" s="74"/>
      <c r="B58" s="256" t="s">
        <v>279</v>
      </c>
      <c r="C58" s="86" t="s">
        <v>142</v>
      </c>
      <c r="D58" s="86" t="s">
        <v>34</v>
      </c>
      <c r="E58" s="188" t="s">
        <v>280</v>
      </c>
      <c r="F58" s="208" t="s">
        <v>189</v>
      </c>
      <c r="G58" s="183">
        <v>137099</v>
      </c>
      <c r="H58" s="355">
        <v>0</v>
      </c>
      <c r="I58" s="187">
        <f t="shared" si="0"/>
        <v>137099</v>
      </c>
    </row>
    <row r="59" spans="1:9" ht="48" customHeight="1">
      <c r="A59" s="74">
        <v>75</v>
      </c>
      <c r="B59" s="255" t="s">
        <v>5</v>
      </c>
      <c r="C59" s="255" t="s">
        <v>4</v>
      </c>
      <c r="D59" s="273"/>
      <c r="E59" s="205" t="s">
        <v>156</v>
      </c>
      <c r="F59" s="208"/>
      <c r="G59" s="209">
        <f>G60</f>
        <v>12520</v>
      </c>
      <c r="H59" s="209">
        <f>H60</f>
        <v>0</v>
      </c>
      <c r="I59" s="210">
        <f t="shared" si="0"/>
        <v>12520</v>
      </c>
    </row>
    <row r="60" spans="1:9" ht="78.75">
      <c r="A60" s="74">
        <v>250404</v>
      </c>
      <c r="B60" s="206" t="s">
        <v>6</v>
      </c>
      <c r="C60" s="207" t="s">
        <v>134</v>
      </c>
      <c r="D60" s="207" t="s">
        <v>132</v>
      </c>
      <c r="E60" s="213" t="s">
        <v>246</v>
      </c>
      <c r="F60" s="208" t="s">
        <v>328</v>
      </c>
      <c r="G60" s="183">
        <v>12520</v>
      </c>
      <c r="H60" s="184">
        <v>0</v>
      </c>
      <c r="I60" s="184">
        <f t="shared" si="0"/>
        <v>12520</v>
      </c>
    </row>
    <row r="61" spans="1:9" ht="31.5" hidden="1">
      <c r="A61" s="136"/>
      <c r="B61" s="170"/>
      <c r="C61" s="171" t="s">
        <v>176</v>
      </c>
      <c r="D61" s="149"/>
      <c r="E61" s="356" t="s">
        <v>156</v>
      </c>
      <c r="F61" s="151"/>
      <c r="G61" s="357">
        <f>G62</f>
        <v>0</v>
      </c>
      <c r="H61" s="357">
        <f>H62</f>
        <v>0</v>
      </c>
      <c r="I61" s="357">
        <f>I62</f>
        <v>0</v>
      </c>
    </row>
    <row r="62" spans="1:9" ht="63" hidden="1">
      <c r="A62" s="136"/>
      <c r="B62" s="170"/>
      <c r="C62" s="149" t="s">
        <v>199</v>
      </c>
      <c r="D62" s="149" t="s">
        <v>134</v>
      </c>
      <c r="E62" s="150" t="s">
        <v>200</v>
      </c>
      <c r="F62" s="151" t="s">
        <v>203</v>
      </c>
      <c r="G62" s="153">
        <v>0</v>
      </c>
      <c r="H62" s="152">
        <v>0</v>
      </c>
      <c r="I62" s="152">
        <v>0</v>
      </c>
    </row>
    <row r="63" spans="2:9" ht="33.75" customHeight="1">
      <c r="B63" s="211"/>
      <c r="C63" s="212"/>
      <c r="D63" s="216"/>
      <c r="E63" s="217" t="s">
        <v>72</v>
      </c>
      <c r="F63" s="218"/>
      <c r="G63" s="358">
        <f>G59+G48+G37+G10+G61</f>
        <v>4879246</v>
      </c>
      <c r="H63" s="358">
        <f>H59+H48+H37+H10+H61</f>
        <v>402200</v>
      </c>
      <c r="I63" s="210">
        <f>G63+H63</f>
        <v>5281446</v>
      </c>
    </row>
    <row r="69" spans="4:8" ht="18.75">
      <c r="D69" s="76" t="s">
        <v>158</v>
      </c>
      <c r="E69" s="77"/>
      <c r="F69" s="77"/>
      <c r="G69" s="77"/>
      <c r="H69" s="78" t="s">
        <v>159</v>
      </c>
    </row>
  </sheetData>
  <sheetProtection/>
  <mergeCells count="2">
    <mergeCell ref="B6:I6"/>
    <mergeCell ref="B7:I7"/>
  </mergeCells>
  <printOptions/>
  <pageMargins left="1.062992125984252" right="0.5118110236220472" top="1.1811023622047245" bottom="0.6299212598425197" header="0.5511811023622047" footer="0.35433070866141736"/>
  <pageSetup fitToHeight="6" fitToWidth="1" horizontalDpi="600" verticalDpi="600" orientation="landscape" paperSize="9" scale="67" r:id="rId1"/>
  <headerFooter alignWithMargins="0">
    <oddHeader>&amp;C&amp;P&amp;RПродовження додатка 6</oddHeader>
  </headerFooter>
  <rowBreaks count="4" manualBreakCount="4">
    <brk id="20" min="1" max="8" man="1"/>
    <brk id="30" min="1" max="8" man="1"/>
    <brk id="40" min="1" max="8" man="1"/>
    <brk id="58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75" zoomScaleSheetLayoutView="100" workbookViewId="0" topLeftCell="A13">
      <selection activeCell="D12" sqref="D12"/>
    </sheetView>
  </sheetViews>
  <sheetFormatPr defaultColWidth="9.33203125" defaultRowHeight="12.75"/>
  <cols>
    <col min="2" max="2" width="66.5" style="0" customWidth="1"/>
    <col min="3" max="3" width="36.83203125" style="0" customWidth="1"/>
    <col min="4" max="4" width="36.16015625" style="0" customWidth="1"/>
    <col min="5" max="5" width="27.33203125" style="0" customWidth="1"/>
    <col min="6" max="6" width="11.83203125" style="0" customWidth="1"/>
    <col min="7" max="7" width="27.66015625" style="0" customWidth="1"/>
    <col min="8" max="8" width="22" style="0" customWidth="1"/>
    <col min="9" max="9" width="26.66015625" style="0" customWidth="1"/>
  </cols>
  <sheetData>
    <row r="1" spans="5:8" ht="15.75">
      <c r="E1" s="60" t="s">
        <v>160</v>
      </c>
      <c r="H1" s="56"/>
    </row>
    <row r="2" spans="5:8" ht="15.75">
      <c r="E2" s="60" t="s">
        <v>108</v>
      </c>
      <c r="H2" s="55"/>
    </row>
    <row r="3" spans="5:8" ht="15.75">
      <c r="E3" s="60"/>
      <c r="H3" s="55"/>
    </row>
    <row r="4" spans="1:9" ht="18">
      <c r="A4" s="117"/>
      <c r="B4" s="117"/>
      <c r="C4" s="117"/>
      <c r="D4" s="117"/>
      <c r="E4" s="60" t="s">
        <v>109</v>
      </c>
      <c r="F4" s="117"/>
      <c r="H4" s="60"/>
      <c r="I4" s="118"/>
    </row>
    <row r="5" spans="1:9" ht="18.75">
      <c r="A5" s="117"/>
      <c r="B5" s="122"/>
      <c r="C5" s="124" t="s">
        <v>192</v>
      </c>
      <c r="E5" s="123"/>
      <c r="F5" s="123"/>
      <c r="G5" s="60"/>
      <c r="H5" s="60"/>
      <c r="I5" s="118"/>
    </row>
    <row r="6" spans="1:9" ht="18.75">
      <c r="A6" s="117"/>
      <c r="B6" s="122"/>
      <c r="C6" s="124" t="s">
        <v>301</v>
      </c>
      <c r="E6" s="123"/>
      <c r="F6" s="123"/>
      <c r="G6" s="60"/>
      <c r="H6" s="60"/>
      <c r="I6" s="118"/>
    </row>
    <row r="7" spans="1:9" ht="12.75">
      <c r="A7" s="117"/>
      <c r="B7" s="117"/>
      <c r="C7" s="117"/>
      <c r="D7" s="117"/>
      <c r="E7" s="117"/>
      <c r="F7" s="117"/>
      <c r="G7" s="117"/>
      <c r="H7" s="117"/>
      <c r="I7" s="117"/>
    </row>
    <row r="8" spans="1:5" ht="145.5" customHeight="1">
      <c r="A8" s="119"/>
      <c r="B8" s="120" t="s">
        <v>7</v>
      </c>
      <c r="C8" s="120" t="s">
        <v>309</v>
      </c>
      <c r="D8" s="120" t="s">
        <v>193</v>
      </c>
      <c r="E8" s="120" t="s">
        <v>194</v>
      </c>
    </row>
    <row r="9" spans="1:11" ht="18.75">
      <c r="A9" s="125">
        <v>1</v>
      </c>
      <c r="B9" s="126" t="s">
        <v>8</v>
      </c>
      <c r="C9" s="125">
        <v>105</v>
      </c>
      <c r="D9" s="125">
        <v>36265.34</v>
      </c>
      <c r="E9" s="128">
        <f aca="true" t="shared" si="0" ref="E9:E14">C9*D9</f>
        <v>3807860.6999999997</v>
      </c>
      <c r="G9" s="160">
        <f aca="true" t="shared" si="1" ref="G9:G14">H9/C9</f>
        <v>0</v>
      </c>
      <c r="H9" s="282">
        <f aca="true" t="shared" si="2" ref="H9:H14">I9/C9</f>
        <v>0</v>
      </c>
      <c r="I9" s="79"/>
      <c r="K9" s="129">
        <f aca="true" t="shared" si="3" ref="K9:K14">E9-I9</f>
        <v>3807860.6999999997</v>
      </c>
    </row>
    <row r="10" spans="1:11" ht="18.75">
      <c r="A10" s="125">
        <v>2</v>
      </c>
      <c r="B10" s="126" t="s">
        <v>9</v>
      </c>
      <c r="C10" s="125">
        <v>20</v>
      </c>
      <c r="D10" s="125">
        <v>45372.15</v>
      </c>
      <c r="E10" s="128">
        <f>C10*D10</f>
        <v>907443</v>
      </c>
      <c r="G10" s="160">
        <f t="shared" si="1"/>
        <v>0</v>
      </c>
      <c r="H10" s="282">
        <f t="shared" si="2"/>
        <v>0</v>
      </c>
      <c r="I10" s="79"/>
      <c r="K10" s="129">
        <f t="shared" si="3"/>
        <v>907443</v>
      </c>
    </row>
    <row r="11" spans="1:11" ht="18.75">
      <c r="A11" s="125">
        <v>3</v>
      </c>
      <c r="B11" s="126" t="s">
        <v>10</v>
      </c>
      <c r="C11" s="125">
        <v>16</v>
      </c>
      <c r="D11" s="125">
        <v>40099.19</v>
      </c>
      <c r="E11" s="128">
        <f t="shared" si="0"/>
        <v>641587.04</v>
      </c>
      <c r="G11" s="160">
        <f t="shared" si="1"/>
        <v>0</v>
      </c>
      <c r="H11" s="282">
        <f t="shared" si="2"/>
        <v>0</v>
      </c>
      <c r="I11" s="79"/>
      <c r="K11" s="129">
        <f t="shared" si="3"/>
        <v>641587.04</v>
      </c>
    </row>
    <row r="12" spans="1:11" ht="18.75">
      <c r="A12" s="125">
        <v>4</v>
      </c>
      <c r="B12" s="126" t="s">
        <v>11</v>
      </c>
      <c r="C12" s="125">
        <v>22</v>
      </c>
      <c r="D12" s="125">
        <v>51019.45</v>
      </c>
      <c r="E12" s="128">
        <f t="shared" si="0"/>
        <v>1122427.9</v>
      </c>
      <c r="G12" s="160">
        <f t="shared" si="1"/>
        <v>0</v>
      </c>
      <c r="H12" s="282">
        <f t="shared" si="2"/>
        <v>0</v>
      </c>
      <c r="I12" s="79"/>
      <c r="K12" s="129">
        <f t="shared" si="3"/>
        <v>1122427.9</v>
      </c>
    </row>
    <row r="13" spans="1:11" ht="18.75">
      <c r="A13" s="125">
        <v>5</v>
      </c>
      <c r="B13" s="126" t="s">
        <v>12</v>
      </c>
      <c r="C13" s="125">
        <v>25</v>
      </c>
      <c r="D13" s="125">
        <v>21444.08</v>
      </c>
      <c r="E13" s="128">
        <f t="shared" si="0"/>
        <v>536102</v>
      </c>
      <c r="G13" s="160">
        <f t="shared" si="1"/>
        <v>0</v>
      </c>
      <c r="H13" s="282">
        <f t="shared" si="2"/>
        <v>0</v>
      </c>
      <c r="I13" s="79"/>
      <c r="K13" s="129">
        <f t="shared" si="3"/>
        <v>536102</v>
      </c>
    </row>
    <row r="14" spans="1:11" ht="18.75">
      <c r="A14" s="125">
        <v>6</v>
      </c>
      <c r="B14" s="126" t="s">
        <v>13</v>
      </c>
      <c r="C14" s="125">
        <v>13</v>
      </c>
      <c r="D14" s="125">
        <v>36923.08</v>
      </c>
      <c r="E14" s="128">
        <f t="shared" si="0"/>
        <v>480000.04000000004</v>
      </c>
      <c r="G14" s="160">
        <f t="shared" si="1"/>
        <v>0</v>
      </c>
      <c r="H14" s="282">
        <f t="shared" si="2"/>
        <v>0</v>
      </c>
      <c r="I14" s="79"/>
      <c r="K14" s="129">
        <f t="shared" si="3"/>
        <v>480000.04000000004</v>
      </c>
    </row>
    <row r="15" spans="1:9" ht="18.75">
      <c r="A15" s="126"/>
      <c r="B15" s="126" t="s">
        <v>52</v>
      </c>
      <c r="C15" s="127">
        <f>SUM(C9:C14)</f>
        <v>201</v>
      </c>
      <c r="D15" s="127">
        <f>SUM(D9:D14)</f>
        <v>231123.29000000004</v>
      </c>
      <c r="E15" s="128">
        <f>SUM(E9:E14)</f>
        <v>7495420.679999999</v>
      </c>
      <c r="G15" s="129"/>
      <c r="I15" s="79"/>
    </row>
    <row r="16" spans="1:5" ht="12.75">
      <c r="A16" s="117"/>
      <c r="B16" s="117"/>
      <c r="C16" s="117"/>
      <c r="D16" s="117"/>
      <c r="E16" s="117"/>
    </row>
    <row r="17" spans="1:5" ht="18">
      <c r="A17" s="117"/>
      <c r="B17" s="117"/>
      <c r="C17" s="121"/>
      <c r="D17" s="117"/>
      <c r="E17" s="117"/>
    </row>
    <row r="18" ht="12.75">
      <c r="E18" s="77"/>
    </row>
    <row r="22" spans="2:4" ht="18.75">
      <c r="B22" s="76" t="s">
        <v>158</v>
      </c>
      <c r="C22" s="77"/>
      <c r="D22" s="78" t="s">
        <v>159</v>
      </c>
    </row>
  </sheetData>
  <printOptions/>
  <pageMargins left="1.25" right="0.7874015748031497" top="0.984251968503937" bottom="0.984251968503937" header="0.5118110236220472" footer="0.5118110236220472"/>
  <pageSetup horizontalDpi="600" verticalDpi="600" orientation="landscape" paperSize="9" scale="7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view="pageBreakPreview" zoomScale="85" zoomScaleSheetLayoutView="85" zoomScalePageLayoutView="0" workbookViewId="0" topLeftCell="B1">
      <selection activeCell="C14" sqref="C14"/>
    </sheetView>
  </sheetViews>
  <sheetFormatPr defaultColWidth="9.16015625" defaultRowHeight="12.75"/>
  <cols>
    <col min="1" max="1" width="0" style="2" hidden="1" customWidth="1"/>
    <col min="2" max="3" width="12" style="25" customWidth="1"/>
    <col min="4" max="4" width="11.83203125" style="25" customWidth="1"/>
    <col min="5" max="5" width="41" style="25" customWidth="1"/>
    <col min="6" max="6" width="14.33203125" style="25" customWidth="1"/>
    <col min="7" max="7" width="13.5" style="25" customWidth="1"/>
    <col min="8" max="9" width="12.66015625" style="25" customWidth="1"/>
    <col min="10" max="10" width="14.16015625" style="25" customWidth="1"/>
    <col min="11" max="13" width="13" style="25" customWidth="1"/>
    <col min="14" max="14" width="13.33203125" style="25" customWidth="1"/>
    <col min="15" max="17" width="13.16015625" style="25" customWidth="1"/>
    <col min="18" max="16384" width="9.16015625" style="25" customWidth="1"/>
  </cols>
  <sheetData>
    <row r="1" ht="15.75">
      <c r="M1" s="60" t="s">
        <v>344</v>
      </c>
    </row>
    <row r="2" ht="15.75">
      <c r="M2" s="60" t="s">
        <v>108</v>
      </c>
    </row>
    <row r="3" ht="15.75">
      <c r="M3" s="60"/>
    </row>
    <row r="4" ht="15.75">
      <c r="M4" s="60" t="s">
        <v>109</v>
      </c>
    </row>
    <row r="5" spans="2:17" ht="32.25" customHeight="1"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55"/>
      <c r="N5" s="55"/>
      <c r="O5" s="55"/>
      <c r="P5" s="55"/>
      <c r="Q5" s="55"/>
    </row>
    <row r="6" spans="2:17" ht="32.25" customHeight="1">
      <c r="B6" s="2"/>
      <c r="C6" s="2"/>
      <c r="D6" s="2"/>
      <c r="E6" s="348" t="s">
        <v>345</v>
      </c>
      <c r="F6" s="348"/>
      <c r="G6" s="348"/>
      <c r="H6" s="348"/>
      <c r="I6" s="348"/>
      <c r="J6" s="348"/>
      <c r="K6" s="348"/>
      <c r="L6" s="348"/>
      <c r="M6" s="348"/>
      <c r="N6" s="1"/>
      <c r="O6" s="1"/>
      <c r="P6" s="1"/>
      <c r="Q6" s="1"/>
    </row>
    <row r="7" spans="2:21" ht="48.75" customHeight="1">
      <c r="B7" s="3"/>
      <c r="C7" s="3"/>
      <c r="D7" s="26"/>
      <c r="E7" s="348"/>
      <c r="F7" s="348"/>
      <c r="G7" s="348"/>
      <c r="H7" s="348"/>
      <c r="I7" s="348"/>
      <c r="J7" s="348"/>
      <c r="K7" s="348"/>
      <c r="L7" s="348"/>
      <c r="M7" s="348"/>
      <c r="N7" s="2"/>
      <c r="O7" s="2"/>
      <c r="P7" s="2"/>
      <c r="Q7" s="27"/>
      <c r="R7" s="24"/>
      <c r="S7" s="24"/>
      <c r="T7" s="24"/>
      <c r="U7" s="24"/>
    </row>
    <row r="8" spans="2:21" ht="15.75" customHeight="1">
      <c r="B8" s="3"/>
      <c r="C8" s="3"/>
      <c r="D8" s="26"/>
      <c r="E8" s="49"/>
      <c r="F8" s="49"/>
      <c r="G8" s="49"/>
      <c r="H8" s="49"/>
      <c r="I8" s="49"/>
      <c r="J8" s="49"/>
      <c r="K8" s="49"/>
      <c r="L8" s="49"/>
      <c r="M8" s="49"/>
      <c r="N8" s="2"/>
      <c r="O8" s="2"/>
      <c r="P8" s="2"/>
      <c r="Q8" s="35" t="s">
        <v>116</v>
      </c>
      <c r="R8" s="24"/>
      <c r="S8" s="24"/>
      <c r="T8" s="24"/>
      <c r="U8" s="24"/>
    </row>
    <row r="9" spans="1:21" ht="30.75" customHeight="1">
      <c r="A9" s="28"/>
      <c r="B9" s="344" t="s">
        <v>175</v>
      </c>
      <c r="C9" s="344" t="s">
        <v>177</v>
      </c>
      <c r="D9" s="344" t="s">
        <v>174</v>
      </c>
      <c r="E9" s="342" t="s">
        <v>83</v>
      </c>
      <c r="F9" s="349" t="s">
        <v>44</v>
      </c>
      <c r="G9" s="349"/>
      <c r="H9" s="349"/>
      <c r="I9" s="350"/>
      <c r="J9" s="351" t="s">
        <v>45</v>
      </c>
      <c r="K9" s="349"/>
      <c r="L9" s="349"/>
      <c r="M9" s="349"/>
      <c r="N9" s="341" t="s">
        <v>46</v>
      </c>
      <c r="O9" s="341"/>
      <c r="P9" s="341"/>
      <c r="Q9" s="341"/>
      <c r="R9" s="24"/>
      <c r="S9" s="24"/>
      <c r="T9" s="24"/>
      <c r="U9" s="24"/>
    </row>
    <row r="10" spans="1:21" ht="28.5" customHeight="1">
      <c r="A10" s="29"/>
      <c r="B10" s="345"/>
      <c r="C10" s="345"/>
      <c r="D10" s="345"/>
      <c r="E10" s="347"/>
      <c r="F10" s="342" t="s">
        <v>49</v>
      </c>
      <c r="G10" s="342" t="s">
        <v>50</v>
      </c>
      <c r="H10" s="51" t="s">
        <v>73</v>
      </c>
      <c r="I10" s="342" t="s">
        <v>51</v>
      </c>
      <c r="J10" s="342" t="s">
        <v>49</v>
      </c>
      <c r="K10" s="342" t="s">
        <v>50</v>
      </c>
      <c r="L10" s="51" t="s">
        <v>73</v>
      </c>
      <c r="M10" s="342" t="s">
        <v>51</v>
      </c>
      <c r="N10" s="342" t="s">
        <v>49</v>
      </c>
      <c r="O10" s="342" t="s">
        <v>50</v>
      </c>
      <c r="P10" s="51" t="s">
        <v>73</v>
      </c>
      <c r="Q10" s="342" t="s">
        <v>51</v>
      </c>
      <c r="R10" s="24"/>
      <c r="S10" s="24"/>
      <c r="T10" s="24"/>
      <c r="U10" s="24"/>
    </row>
    <row r="11" spans="1:21" ht="60" customHeight="1">
      <c r="A11" s="50"/>
      <c r="B11" s="346"/>
      <c r="C11" s="346"/>
      <c r="D11" s="346"/>
      <c r="E11" s="343"/>
      <c r="F11" s="343"/>
      <c r="G11" s="343"/>
      <c r="H11" s="51" t="s">
        <v>71</v>
      </c>
      <c r="I11" s="343"/>
      <c r="J11" s="343"/>
      <c r="K11" s="343"/>
      <c r="L11" s="51" t="s">
        <v>71</v>
      </c>
      <c r="M11" s="343"/>
      <c r="N11" s="343"/>
      <c r="O11" s="343"/>
      <c r="P11" s="51" t="s">
        <v>71</v>
      </c>
      <c r="Q11" s="343"/>
      <c r="R11" s="24"/>
      <c r="S11" s="24"/>
      <c r="T11" s="24"/>
      <c r="U11" s="24"/>
    </row>
    <row r="12" spans="1:17" ht="31.5">
      <c r="A12" s="30"/>
      <c r="B12" s="93" t="s">
        <v>354</v>
      </c>
      <c r="C12" s="93" t="s">
        <v>215</v>
      </c>
      <c r="D12" s="93"/>
      <c r="E12" s="94" t="s">
        <v>148</v>
      </c>
      <c r="F12" s="72">
        <f>F13</f>
        <v>40000</v>
      </c>
      <c r="G12" s="87">
        <f>G13</f>
        <v>0</v>
      </c>
      <c r="H12" s="87"/>
      <c r="I12" s="89">
        <f>F12+G12</f>
        <v>40000</v>
      </c>
      <c r="J12" s="87">
        <f>J15</f>
        <v>-40000</v>
      </c>
      <c r="K12" s="87">
        <f>K15</f>
        <v>0</v>
      </c>
      <c r="L12" s="87">
        <f>L15</f>
        <v>0</v>
      </c>
      <c r="M12" s="92">
        <f>J12+K12</f>
        <v>-40000</v>
      </c>
      <c r="N12" s="88" t="s">
        <v>147</v>
      </c>
      <c r="O12" s="88" t="s">
        <v>147</v>
      </c>
      <c r="P12" s="88"/>
      <c r="Q12" s="88" t="s">
        <v>147</v>
      </c>
    </row>
    <row r="13" spans="1:17" ht="63.75" customHeight="1">
      <c r="A13" s="30"/>
      <c r="B13" s="93" t="s">
        <v>420</v>
      </c>
      <c r="C13" s="95" t="s">
        <v>419</v>
      </c>
      <c r="D13" s="95"/>
      <c r="E13" s="96" t="s">
        <v>346</v>
      </c>
      <c r="F13" s="89">
        <f>F14</f>
        <v>40000</v>
      </c>
      <c r="G13" s="89">
        <f>G14</f>
        <v>0</v>
      </c>
      <c r="H13" s="89"/>
      <c r="I13" s="89">
        <f>F13+G13</f>
        <v>40000</v>
      </c>
      <c r="J13" s="89"/>
      <c r="K13" s="89">
        <f>K15</f>
        <v>0</v>
      </c>
      <c r="L13" s="89"/>
      <c r="M13" s="92">
        <f>J13+K13</f>
        <v>0</v>
      </c>
      <c r="N13" s="88" t="s">
        <v>147</v>
      </c>
      <c r="O13" s="88" t="s">
        <v>147</v>
      </c>
      <c r="P13" s="88"/>
      <c r="Q13" s="88" t="s">
        <v>147</v>
      </c>
    </row>
    <row r="14" spans="1:17" ht="96.75" customHeight="1">
      <c r="A14" s="30"/>
      <c r="B14" s="93" t="s">
        <v>417</v>
      </c>
      <c r="C14" s="97" t="s">
        <v>347</v>
      </c>
      <c r="D14" s="97" t="s">
        <v>80</v>
      </c>
      <c r="E14" s="223" t="s">
        <v>349</v>
      </c>
      <c r="F14" s="73">
        <v>40000</v>
      </c>
      <c r="G14" s="89"/>
      <c r="H14" s="89"/>
      <c r="I14" s="89">
        <f>F14+G14</f>
        <v>40000</v>
      </c>
      <c r="J14" s="89"/>
      <c r="K14" s="89"/>
      <c r="L14" s="89"/>
      <c r="M14" s="92">
        <f>J14+K14</f>
        <v>0</v>
      </c>
      <c r="N14" s="91">
        <f>F14</f>
        <v>40000</v>
      </c>
      <c r="O14" s="91">
        <f>G14</f>
        <v>0</v>
      </c>
      <c r="P14" s="91"/>
      <c r="Q14" s="91">
        <f>N14+O14</f>
        <v>40000</v>
      </c>
    </row>
    <row r="15" spans="1:17" ht="107.25" customHeight="1">
      <c r="A15" s="30"/>
      <c r="B15" s="93" t="s">
        <v>421</v>
      </c>
      <c r="C15" s="97" t="s">
        <v>348</v>
      </c>
      <c r="D15" s="97" t="s">
        <v>80</v>
      </c>
      <c r="E15" s="223" t="s">
        <v>350</v>
      </c>
      <c r="F15" s="73"/>
      <c r="G15" s="89"/>
      <c r="H15" s="89"/>
      <c r="I15" s="89">
        <f>F15+G15</f>
        <v>0</v>
      </c>
      <c r="J15" s="89">
        <v>-40000</v>
      </c>
      <c r="K15" s="89"/>
      <c r="L15" s="89"/>
      <c r="M15" s="92">
        <f>J15+K15</f>
        <v>-40000</v>
      </c>
      <c r="N15" s="91">
        <f>J15</f>
        <v>-40000</v>
      </c>
      <c r="O15" s="91"/>
      <c r="P15" s="91"/>
      <c r="Q15" s="91">
        <f>N15+O15</f>
        <v>-40000</v>
      </c>
    </row>
    <row r="16" spans="2:17" ht="27.75" customHeight="1">
      <c r="B16" s="38"/>
      <c r="C16" s="38"/>
      <c r="D16" s="42"/>
      <c r="E16" s="37" t="s">
        <v>72</v>
      </c>
      <c r="F16" s="275">
        <f>F13</f>
        <v>40000</v>
      </c>
      <c r="G16" s="91">
        <f>G12</f>
        <v>0</v>
      </c>
      <c r="H16" s="91"/>
      <c r="I16" s="89">
        <f>F16+G16</f>
        <v>40000</v>
      </c>
      <c r="J16" s="91">
        <f>J15</f>
        <v>-40000</v>
      </c>
      <c r="K16" s="91">
        <f>K12</f>
        <v>0</v>
      </c>
      <c r="L16" s="90"/>
      <c r="M16" s="91">
        <f>J16+K16</f>
        <v>-40000</v>
      </c>
      <c r="N16" s="88" t="s">
        <v>147</v>
      </c>
      <c r="O16" s="88" t="s">
        <v>147</v>
      </c>
      <c r="P16" s="88"/>
      <c r="Q16" s="88" t="s">
        <v>147</v>
      </c>
    </row>
    <row r="22" spans="6:12" ht="18.75">
      <c r="F22" s="76" t="s">
        <v>158</v>
      </c>
      <c r="G22" s="77"/>
      <c r="H22" s="77"/>
      <c r="I22" s="77"/>
      <c r="L22" s="78" t="s">
        <v>159</v>
      </c>
    </row>
  </sheetData>
  <sheetProtection/>
  <mergeCells count="17">
    <mergeCell ref="E6:M7"/>
    <mergeCell ref="F9:I9"/>
    <mergeCell ref="J9:M9"/>
    <mergeCell ref="G10:G11"/>
    <mergeCell ref="J10:J11"/>
    <mergeCell ref="B9:B11"/>
    <mergeCell ref="C9:C11"/>
    <mergeCell ref="D9:D11"/>
    <mergeCell ref="E9:E11"/>
    <mergeCell ref="N9:Q9"/>
    <mergeCell ref="F10:F11"/>
    <mergeCell ref="Q10:Q11"/>
    <mergeCell ref="K10:K11"/>
    <mergeCell ref="I10:I11"/>
    <mergeCell ref="M10:M11"/>
    <mergeCell ref="O10:O11"/>
    <mergeCell ref="N10:N1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2018-07-25T08:19:12Z</cp:lastPrinted>
  <dcterms:created xsi:type="dcterms:W3CDTF">2014-01-17T10:52:16Z</dcterms:created>
  <dcterms:modified xsi:type="dcterms:W3CDTF">2018-07-25T08:33:41Z</dcterms:modified>
  <cp:category/>
  <cp:version/>
  <cp:contentType/>
  <cp:contentStatus/>
</cp:coreProperties>
</file>